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PE\AAAA 2021-2027 NAJNOWSZA PERSPEKTYWA\SZOP FEDS 2021-2027 ZWD\Zmiana SZOP FEDS 21-27 wersja 29 - grudzień 2025\ZWD SZOP FEDS v.029 -30 grudzień 2025\"/>
    </mc:Choice>
  </mc:AlternateContent>
  <xr:revisionPtr revIDLastSave="0" documentId="13_ncr:1_{F38DC5DA-4B91-44F5-BCF9-9C6D12637C8D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IPF" sheetId="1" state="hidden" r:id="rId1"/>
    <sheet name="IPF - RW" sheetId="4" state="hidden" r:id="rId2"/>
    <sheet name="wskazówki" sheetId="17" state="hidden" r:id="rId3"/>
    <sheet name="2.dział SZOP do opinii v29" sheetId="34" r:id="rId4"/>
    <sheet name="5.KI - SZOP do opinii v29" sheetId="35" r:id="rId5"/>
    <sheet name="Arkusz2" sheetId="2" state="hidden" r:id="rId6"/>
    <sheet name="Arkusz3" sheetId="3" state="hidden" r:id="rId7"/>
  </sheets>
  <definedNames>
    <definedName name="_xlnm._FilterDatabase" localSheetId="3" hidden="1">'2.dział SZOP do opinii v29'!$A$7:$Q$70</definedName>
    <definedName name="_xlnm._FilterDatabase" localSheetId="4" hidden="1">'5.KI - SZOP do opinii v29'!$A$2:$F$170</definedName>
    <definedName name="_xlnm.Print_Area" localSheetId="3">'2.dział SZOP do opinii v29'!$A$1:$Q$70</definedName>
    <definedName name="_xlnm.Print_Area" localSheetId="4">'5.KI - SZOP do opinii v29'!$A$1:$F$169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3" i="35" l="1"/>
  <c r="F118" i="35"/>
  <c r="F114" i="35"/>
  <c r="F27" i="35"/>
  <c r="F25" i="35"/>
  <c r="F23" i="35"/>
  <c r="F18" i="35"/>
  <c r="F17" i="35"/>
  <c r="F15" i="35"/>
  <c r="F170" i="35"/>
  <c r="P70" i="34"/>
  <c r="J69" i="34"/>
  <c r="I69" i="34" s="1"/>
  <c r="D69" i="34"/>
  <c r="O69" i="34" s="1"/>
  <c r="Q68" i="34"/>
  <c r="N68" i="34"/>
  <c r="M68" i="34"/>
  <c r="L68" i="34"/>
  <c r="K68" i="34"/>
  <c r="J68" i="34" s="1"/>
  <c r="I68" i="34" s="1"/>
  <c r="H68" i="34"/>
  <c r="G68" i="34"/>
  <c r="F68" i="34"/>
  <c r="E68" i="34"/>
  <c r="D68" i="34" s="1"/>
  <c r="J67" i="34"/>
  <c r="I67" i="34"/>
  <c r="D67" i="34"/>
  <c r="O67" i="34" s="1"/>
  <c r="Q66" i="34"/>
  <c r="N66" i="34"/>
  <c r="M66" i="34"/>
  <c r="L66" i="34"/>
  <c r="J66" i="34" s="1"/>
  <c r="I66" i="34" s="1"/>
  <c r="K66" i="34"/>
  <c r="H66" i="34"/>
  <c r="G66" i="34"/>
  <c r="F66" i="34"/>
  <c r="E66" i="34"/>
  <c r="D66" i="34"/>
  <c r="O66" i="34" s="1"/>
  <c r="J65" i="34"/>
  <c r="I65" i="34" s="1"/>
  <c r="D65" i="34"/>
  <c r="Q64" i="34"/>
  <c r="N64" i="34"/>
  <c r="M64" i="34"/>
  <c r="L64" i="34"/>
  <c r="K64" i="34"/>
  <c r="J64" i="34" s="1"/>
  <c r="I64" i="34" s="1"/>
  <c r="H64" i="34"/>
  <c r="G64" i="34"/>
  <c r="F64" i="34"/>
  <c r="E64" i="34"/>
  <c r="J63" i="34"/>
  <c r="I63" i="34"/>
  <c r="D63" i="34"/>
  <c r="O63" i="34" s="1"/>
  <c r="Q62" i="34"/>
  <c r="N62" i="34"/>
  <c r="M62" i="34"/>
  <c r="L62" i="34"/>
  <c r="J62" i="34" s="1"/>
  <c r="I62" i="34" s="1"/>
  <c r="K62" i="34"/>
  <c r="H62" i="34"/>
  <c r="G62" i="34"/>
  <c r="F62" i="34"/>
  <c r="E62" i="34"/>
  <c r="J61" i="34"/>
  <c r="I61" i="34" s="1"/>
  <c r="D61" i="34"/>
  <c r="Q60" i="34"/>
  <c r="N60" i="34"/>
  <c r="M60" i="34"/>
  <c r="L60" i="34"/>
  <c r="K60" i="34"/>
  <c r="J60" i="34" s="1"/>
  <c r="I60" i="34" s="1"/>
  <c r="H60" i="34"/>
  <c r="G60" i="34"/>
  <c r="F60" i="34"/>
  <c r="E60" i="34"/>
  <c r="J59" i="34"/>
  <c r="I59" i="34"/>
  <c r="D59" i="34"/>
  <c r="O59" i="34" s="1"/>
  <c r="J58" i="34"/>
  <c r="I58" i="34"/>
  <c r="D58" i="34"/>
  <c r="O58" i="34" s="1"/>
  <c r="J57" i="34"/>
  <c r="I57" i="34"/>
  <c r="D57" i="34"/>
  <c r="O57" i="34" s="1"/>
  <c r="J56" i="34"/>
  <c r="I56" i="34"/>
  <c r="D56" i="34"/>
  <c r="O56" i="34" s="1"/>
  <c r="O55" i="34"/>
  <c r="J55" i="34"/>
  <c r="I55" i="34"/>
  <c r="D55" i="34"/>
  <c r="J54" i="34"/>
  <c r="I54" i="34"/>
  <c r="D54" i="34"/>
  <c r="O54" i="34" s="1"/>
  <c r="J53" i="34"/>
  <c r="I53" i="34"/>
  <c r="D53" i="34"/>
  <c r="O53" i="34" s="1"/>
  <c r="Q52" i="34"/>
  <c r="N52" i="34"/>
  <c r="M52" i="34"/>
  <c r="L52" i="34"/>
  <c r="J52" i="34" s="1"/>
  <c r="I52" i="34" s="1"/>
  <c r="K52" i="34"/>
  <c r="H52" i="34"/>
  <c r="G52" i="34"/>
  <c r="F52" i="34"/>
  <c r="E52" i="34"/>
  <c r="N48" i="34"/>
  <c r="M48" i="34"/>
  <c r="L48" i="34"/>
  <c r="K48" i="34"/>
  <c r="H48" i="34"/>
  <c r="F48" i="34"/>
  <c r="E48" i="34"/>
  <c r="N37" i="34"/>
  <c r="M37" i="34"/>
  <c r="L37" i="34"/>
  <c r="K37" i="34"/>
  <c r="J37" i="34" s="1"/>
  <c r="H37" i="34"/>
  <c r="F37" i="34"/>
  <c r="E37" i="34"/>
  <c r="J36" i="34"/>
  <c r="I36" i="34" s="1"/>
  <c r="D36" i="34"/>
  <c r="O36" i="34" s="1"/>
  <c r="J35" i="34"/>
  <c r="I35" i="34" s="1"/>
  <c r="D35" i="34"/>
  <c r="O35" i="34" s="1"/>
  <c r="Q34" i="34"/>
  <c r="N34" i="34"/>
  <c r="M34" i="34"/>
  <c r="L34" i="34"/>
  <c r="K34" i="34"/>
  <c r="J34" i="34" s="1"/>
  <c r="H34" i="34"/>
  <c r="G34" i="34"/>
  <c r="F34" i="34"/>
  <c r="E34" i="34"/>
  <c r="J33" i="34"/>
  <c r="I33" i="34"/>
  <c r="D33" i="34"/>
  <c r="O33" i="34" s="1"/>
  <c r="J32" i="34"/>
  <c r="I32" i="34" s="1"/>
  <c r="O32" i="34" s="1"/>
  <c r="D32" i="34"/>
  <c r="Q31" i="34"/>
  <c r="N31" i="34"/>
  <c r="M31" i="34"/>
  <c r="L31" i="34"/>
  <c r="K31" i="34"/>
  <c r="H31" i="34"/>
  <c r="G31" i="34"/>
  <c r="F31" i="34"/>
  <c r="E31" i="34"/>
  <c r="J30" i="34"/>
  <c r="I30" i="34" s="1"/>
  <c r="D30" i="34"/>
  <c r="Q29" i="34"/>
  <c r="N29" i="34"/>
  <c r="M29" i="34"/>
  <c r="L29" i="34"/>
  <c r="K29" i="34"/>
  <c r="H29" i="34"/>
  <c r="G29" i="34"/>
  <c r="F29" i="34"/>
  <c r="E29" i="34"/>
  <c r="D29" i="34" s="1"/>
  <c r="J28" i="34"/>
  <c r="I28" i="34" s="1"/>
  <c r="D28" i="34"/>
  <c r="Q26" i="34"/>
  <c r="N26" i="34"/>
  <c r="M26" i="34"/>
  <c r="L26" i="34"/>
  <c r="K26" i="34"/>
  <c r="H26" i="34"/>
  <c r="G26" i="34"/>
  <c r="F26" i="34"/>
  <c r="E26" i="34"/>
  <c r="J25" i="34"/>
  <c r="I25" i="34" s="1"/>
  <c r="D25" i="34"/>
  <c r="J24" i="34"/>
  <c r="I24" i="34" s="1"/>
  <c r="D24" i="34"/>
  <c r="O24" i="34" s="1"/>
  <c r="J23" i="34"/>
  <c r="I23" i="34" s="1"/>
  <c r="D23" i="34"/>
  <c r="O23" i="34" s="1"/>
  <c r="J21" i="34"/>
  <c r="I21" i="34" s="1"/>
  <c r="D21" i="34"/>
  <c r="J20" i="34"/>
  <c r="I20" i="34" s="1"/>
  <c r="D20" i="34"/>
  <c r="O20" i="34" s="1"/>
  <c r="J19" i="34"/>
  <c r="I19" i="34" s="1"/>
  <c r="D19" i="34"/>
  <c r="O19" i="34" s="1"/>
  <c r="J18" i="34"/>
  <c r="I18" i="34" s="1"/>
  <c r="D18" i="34"/>
  <c r="J17" i="34"/>
  <c r="I17" i="34" s="1"/>
  <c r="D17" i="34"/>
  <c r="J16" i="34"/>
  <c r="I16" i="34" s="1"/>
  <c r="D16" i="34"/>
  <c r="Q15" i="34"/>
  <c r="J15" i="34"/>
  <c r="I15" i="34" s="1"/>
  <c r="D15" i="34"/>
  <c r="Q14" i="34"/>
  <c r="N14" i="34"/>
  <c r="M14" i="34"/>
  <c r="L14" i="34"/>
  <c r="K14" i="34"/>
  <c r="H14" i="34"/>
  <c r="G14" i="34"/>
  <c r="F14" i="34"/>
  <c r="E14" i="34"/>
  <c r="J13" i="34"/>
  <c r="I13" i="34" s="1"/>
  <c r="D13" i="34"/>
  <c r="J12" i="34"/>
  <c r="I12" i="34" s="1"/>
  <c r="D12" i="34"/>
  <c r="J11" i="34"/>
  <c r="I11" i="34" s="1"/>
  <c r="D11" i="34"/>
  <c r="J10" i="34"/>
  <c r="I10" i="34" s="1"/>
  <c r="D10" i="34"/>
  <c r="J9" i="34"/>
  <c r="I9" i="34" s="1"/>
  <c r="D9" i="34"/>
  <c r="Q8" i="34"/>
  <c r="N8" i="34"/>
  <c r="M8" i="34"/>
  <c r="L8" i="34"/>
  <c r="K8" i="34"/>
  <c r="H8" i="34"/>
  <c r="G8" i="34"/>
  <c r="F8" i="34"/>
  <c r="E8" i="34"/>
  <c r="H70" i="34" l="1"/>
  <c r="J48" i="34"/>
  <c r="I48" i="34" s="1"/>
  <c r="O15" i="34"/>
  <c r="J26" i="34"/>
  <c r="I26" i="34" s="1"/>
  <c r="J29" i="34"/>
  <c r="I29" i="34" s="1"/>
  <c r="J31" i="34"/>
  <c r="I31" i="34" s="1"/>
  <c r="D34" i="34"/>
  <c r="D52" i="34"/>
  <c r="O52" i="34" s="1"/>
  <c r="D60" i="34"/>
  <c r="D62" i="34"/>
  <c r="O62" i="34" s="1"/>
  <c r="D64" i="34"/>
  <c r="O64" i="34" s="1"/>
  <c r="M70" i="34"/>
  <c r="N70" i="34"/>
  <c r="O16" i="34"/>
  <c r="D37" i="34"/>
  <c r="D31" i="34"/>
  <c r="D8" i="34"/>
  <c r="I37" i="34"/>
  <c r="O28" i="34"/>
  <c r="I34" i="34"/>
  <c r="Q37" i="34"/>
  <c r="J14" i="34"/>
  <c r="I14" i="34" s="1"/>
  <c r="O18" i="34"/>
  <c r="Q48" i="34"/>
  <c r="O10" i="34"/>
  <c r="O11" i="34"/>
  <c r="O12" i="34"/>
  <c r="G70" i="34"/>
  <c r="D26" i="34"/>
  <c r="O26" i="34" s="1"/>
  <c r="K70" i="34"/>
  <c r="L70" i="34"/>
  <c r="F70" i="34"/>
  <c r="D14" i="34"/>
  <c r="E70" i="34"/>
  <c r="O9" i="34"/>
  <c r="O13" i="34"/>
  <c r="O17" i="34"/>
  <c r="O21" i="34"/>
  <c r="O25" i="34"/>
  <c r="O31" i="34"/>
  <c r="O29" i="34"/>
  <c r="O60" i="34"/>
  <c r="O30" i="34"/>
  <c r="O61" i="34"/>
  <c r="O65" i="34"/>
  <c r="O68" i="34"/>
  <c r="J8" i="34"/>
  <c r="I8" i="34" s="1"/>
  <c r="O8" i="34" s="1"/>
  <c r="D48" i="34"/>
  <c r="O48" i="34" s="1"/>
  <c r="Q70" i="34" l="1"/>
  <c r="J70" i="34"/>
  <c r="I70" i="34" s="1"/>
  <c r="O34" i="34"/>
  <c r="O37" i="34"/>
  <c r="D70" i="34"/>
  <c r="O70" i="34" s="1"/>
  <c r="O14" i="34"/>
  <c r="P45" i="1"/>
  <c r="N45" i="1"/>
  <c r="M45" i="1"/>
  <c r="K45" i="1"/>
  <c r="H45" i="1"/>
  <c r="G45" i="1"/>
  <c r="E45" i="1"/>
  <c r="D61" i="1"/>
  <c r="L61" i="1" s="1"/>
  <c r="J61" i="1" s="1"/>
  <c r="I61" i="1" s="1"/>
  <c r="O61" i="1" s="1"/>
  <c r="Q61" i="1" s="1"/>
  <c r="D60" i="1"/>
  <c r="L60" i="1" s="1"/>
  <c r="J60" i="1" s="1"/>
  <c r="I60" i="1" s="1"/>
  <c r="O60" i="1" s="1"/>
  <c r="L36" i="1"/>
  <c r="J36" i="1" s="1"/>
  <c r="I36" i="1" s="1"/>
  <c r="D36" i="1"/>
  <c r="P18" i="1"/>
  <c r="N18" i="1"/>
  <c r="M18" i="1"/>
  <c r="K18" i="1"/>
  <c r="F18" i="1"/>
  <c r="L32" i="1"/>
  <c r="J32" i="1" s="1"/>
  <c r="I32" i="1" s="1"/>
  <c r="L31" i="1"/>
  <c r="J31" i="1" s="1"/>
  <c r="I31" i="1" s="1"/>
  <c r="L30" i="1"/>
  <c r="J30" i="1" s="1"/>
  <c r="I30" i="1" s="1"/>
  <c r="D32" i="1"/>
  <c r="D31" i="1"/>
  <c r="D30" i="1"/>
  <c r="L9" i="1"/>
  <c r="J9" i="1" s="1"/>
  <c r="I9" i="1" s="1"/>
  <c r="N7" i="1"/>
  <c r="N7" i="4" s="1"/>
  <c r="L10" i="1"/>
  <c r="L10" i="4" s="1"/>
  <c r="F7" i="1"/>
  <c r="L17" i="1"/>
  <c r="J17" i="1" s="1"/>
  <c r="I17" i="1" s="1"/>
  <c r="L16" i="1"/>
  <c r="J16" i="1" s="1"/>
  <c r="I16" i="1" s="1"/>
  <c r="D17" i="1"/>
  <c r="D16" i="1"/>
  <c r="F13" i="2"/>
  <c r="P74" i="1"/>
  <c r="N74" i="1"/>
  <c r="M74" i="1"/>
  <c r="K74" i="1"/>
  <c r="P72" i="1"/>
  <c r="N72" i="1"/>
  <c r="M72" i="1"/>
  <c r="K72" i="1"/>
  <c r="P67" i="1"/>
  <c r="N67" i="1"/>
  <c r="M67" i="1"/>
  <c r="K67" i="1"/>
  <c r="P62" i="1"/>
  <c r="N62" i="1"/>
  <c r="M62" i="1"/>
  <c r="K62" i="1"/>
  <c r="P40" i="1"/>
  <c r="N40" i="1"/>
  <c r="M40" i="1"/>
  <c r="K40" i="1"/>
  <c r="L44" i="1"/>
  <c r="J44" i="1" s="1"/>
  <c r="I44" i="1" s="1"/>
  <c r="L43" i="1"/>
  <c r="L42" i="1"/>
  <c r="L50" i="4" s="1"/>
  <c r="L41" i="1"/>
  <c r="L39" i="1"/>
  <c r="L39" i="4" s="1"/>
  <c r="L38" i="1"/>
  <c r="J38" i="1" s="1"/>
  <c r="P37" i="1"/>
  <c r="N37" i="1"/>
  <c r="M37" i="1"/>
  <c r="K37" i="1"/>
  <c r="L35" i="1"/>
  <c r="J35" i="1" s="1"/>
  <c r="L34" i="1"/>
  <c r="L25" i="4" s="1"/>
  <c r="I25" i="4" s="1"/>
  <c r="P33" i="1"/>
  <c r="N33" i="1"/>
  <c r="M33" i="1"/>
  <c r="K33" i="1"/>
  <c r="E13" i="2"/>
  <c r="L29" i="1"/>
  <c r="J29" i="1" s="1"/>
  <c r="I29" i="1" s="1"/>
  <c r="L28" i="1"/>
  <c r="J28" i="1" s="1"/>
  <c r="I28" i="1" s="1"/>
  <c r="L27" i="1"/>
  <c r="J27" i="1" s="1"/>
  <c r="I27" i="1" s="1"/>
  <c r="L26" i="1"/>
  <c r="J26" i="1" s="1"/>
  <c r="I26" i="1" s="1"/>
  <c r="L25" i="1"/>
  <c r="J25" i="1" s="1"/>
  <c r="I25" i="1" s="1"/>
  <c r="L24" i="1"/>
  <c r="J24" i="1" s="1"/>
  <c r="I24" i="1" s="1"/>
  <c r="L23" i="1"/>
  <c r="J23" i="1" s="1"/>
  <c r="I23" i="1" s="1"/>
  <c r="L22" i="1"/>
  <c r="J22" i="1" s="1"/>
  <c r="I22" i="1" s="1"/>
  <c r="L21" i="1"/>
  <c r="J21" i="1" s="1"/>
  <c r="I21" i="1" s="1"/>
  <c r="L20" i="1"/>
  <c r="J20" i="1" s="1"/>
  <c r="I20" i="1" s="1"/>
  <c r="L19" i="1"/>
  <c r="J19" i="1" s="1"/>
  <c r="I19" i="1" s="1"/>
  <c r="L14" i="1"/>
  <c r="J14" i="1" s="1"/>
  <c r="I14" i="1" s="1"/>
  <c r="D9" i="3"/>
  <c r="L15" i="1"/>
  <c r="J15" i="1" s="1"/>
  <c r="I15" i="1" s="1"/>
  <c r="L8" i="1"/>
  <c r="J8" i="1" s="1"/>
  <c r="I8" i="1" s="1"/>
  <c r="L13" i="1"/>
  <c r="J13" i="1" s="1"/>
  <c r="I13" i="1" s="1"/>
  <c r="L12" i="1"/>
  <c r="J12" i="1" s="1"/>
  <c r="I12" i="1" s="1"/>
  <c r="P7" i="1"/>
  <c r="D75" i="1"/>
  <c r="L75" i="1" s="1"/>
  <c r="H74" i="1"/>
  <c r="H72" i="1"/>
  <c r="G72" i="1"/>
  <c r="F72" i="1"/>
  <c r="E72" i="1"/>
  <c r="D73" i="1"/>
  <c r="D72" i="1" s="1"/>
  <c r="H67" i="1"/>
  <c r="G67" i="1"/>
  <c r="F67" i="1"/>
  <c r="E67" i="1"/>
  <c r="D71" i="1"/>
  <c r="D70" i="1"/>
  <c r="L70" i="1" s="1"/>
  <c r="L84" i="4" s="1"/>
  <c r="D69" i="1"/>
  <c r="D68" i="1"/>
  <c r="L68" i="1" s="1"/>
  <c r="J68" i="1" s="1"/>
  <c r="I68" i="1" s="1"/>
  <c r="O68" i="1" s="1"/>
  <c r="Q68" i="1" s="1"/>
  <c r="H62" i="1"/>
  <c r="G62" i="1"/>
  <c r="F62" i="1"/>
  <c r="E62" i="1"/>
  <c r="D66" i="1"/>
  <c r="L66" i="1" s="1"/>
  <c r="J66" i="1" s="1"/>
  <c r="I66" i="1" s="1"/>
  <c r="D65" i="1"/>
  <c r="L65" i="1" s="1"/>
  <c r="D64" i="1"/>
  <c r="D63" i="1"/>
  <c r="L63" i="1" s="1"/>
  <c r="L65" i="4" s="1"/>
  <c r="I65" i="4" s="1"/>
  <c r="D59" i="1"/>
  <c r="L59" i="1" s="1"/>
  <c r="J59" i="1" s="1"/>
  <c r="I59" i="1" s="1"/>
  <c r="D58" i="1"/>
  <c r="L58" i="1" s="1"/>
  <c r="J58" i="1" s="1"/>
  <c r="I58" i="1" s="1"/>
  <c r="O58" i="1" s="1"/>
  <c r="Q58" i="1" s="1"/>
  <c r="D57" i="1"/>
  <c r="L57" i="1" s="1"/>
  <c r="J57" i="1" s="1"/>
  <c r="I57" i="1" s="1"/>
  <c r="O57" i="1" s="1"/>
  <c r="D56" i="1"/>
  <c r="L56" i="1" s="1"/>
  <c r="J56" i="1" s="1"/>
  <c r="I56" i="1" s="1"/>
  <c r="D55" i="1"/>
  <c r="L55" i="1" s="1"/>
  <c r="J55" i="1" s="1"/>
  <c r="I55" i="1" s="1"/>
  <c r="D54" i="1"/>
  <c r="L54" i="1" s="1"/>
  <c r="J54" i="1" s="1"/>
  <c r="I54" i="1" s="1"/>
  <c r="O54" i="1" s="1"/>
  <c r="Q54" i="1" s="1"/>
  <c r="D53" i="1"/>
  <c r="D52" i="1"/>
  <c r="L52" i="1" s="1"/>
  <c r="D51" i="1"/>
  <c r="L51" i="1" s="1"/>
  <c r="D50" i="1"/>
  <c r="L50" i="1" s="1"/>
  <c r="D49" i="1"/>
  <c r="L49" i="1" s="1"/>
  <c r="D47" i="1"/>
  <c r="L47" i="1" s="1"/>
  <c r="L56" i="4" s="1"/>
  <c r="D46" i="1"/>
  <c r="L46" i="1" s="1"/>
  <c r="J46" i="1" s="1"/>
  <c r="I46" i="1" s="1"/>
  <c r="O46" i="1" s="1"/>
  <c r="Q46" i="1" s="1"/>
  <c r="H40" i="1"/>
  <c r="G40" i="1"/>
  <c r="F40" i="1"/>
  <c r="E40" i="1"/>
  <c r="D44" i="1"/>
  <c r="D43" i="1"/>
  <c r="D42" i="1"/>
  <c r="D41" i="1"/>
  <c r="H37" i="1"/>
  <c r="G37" i="1"/>
  <c r="F37" i="1"/>
  <c r="E37" i="1"/>
  <c r="D39" i="1"/>
  <c r="D38" i="1"/>
  <c r="H33" i="1"/>
  <c r="G33" i="1"/>
  <c r="F33" i="1"/>
  <c r="E33" i="1"/>
  <c r="D35" i="1"/>
  <c r="D34" i="1"/>
  <c r="H18" i="1"/>
  <c r="D29" i="1"/>
  <c r="D28" i="1"/>
  <c r="D27" i="1"/>
  <c r="D26" i="1"/>
  <c r="D25" i="1"/>
  <c r="D24" i="1"/>
  <c r="D23" i="1"/>
  <c r="D22" i="1"/>
  <c r="D21" i="1"/>
  <c r="D20" i="1"/>
  <c r="H7" i="1"/>
  <c r="D15" i="1"/>
  <c r="D14" i="1"/>
  <c r="D13" i="1"/>
  <c r="D12" i="1"/>
  <c r="D11" i="1"/>
  <c r="D10" i="1"/>
  <c r="D9" i="1"/>
  <c r="D8" i="1"/>
  <c r="K96" i="4"/>
  <c r="J96" i="4"/>
  <c r="K95" i="4"/>
  <c r="J95" i="4"/>
  <c r="K94" i="4"/>
  <c r="J94" i="4"/>
  <c r="L92" i="4"/>
  <c r="K92" i="4"/>
  <c r="L91" i="4"/>
  <c r="J91" i="4"/>
  <c r="J90" i="4" s="1"/>
  <c r="K88" i="4"/>
  <c r="J88" i="4"/>
  <c r="K87" i="4"/>
  <c r="J87" i="4"/>
  <c r="K86" i="4"/>
  <c r="J86" i="4"/>
  <c r="J84" i="4"/>
  <c r="J83" i="4"/>
  <c r="J82" i="4"/>
  <c r="J81" i="4"/>
  <c r="L74" i="4"/>
  <c r="J74" i="4"/>
  <c r="K73" i="4"/>
  <c r="J73" i="4"/>
  <c r="K71" i="4"/>
  <c r="J71" i="4"/>
  <c r="L70" i="4"/>
  <c r="K70" i="4"/>
  <c r="J70" i="4"/>
  <c r="K69" i="4"/>
  <c r="J69" i="4"/>
  <c r="K67" i="4"/>
  <c r="J67" i="4"/>
  <c r="K63" i="4"/>
  <c r="J63" i="4"/>
  <c r="K62" i="4"/>
  <c r="J62" i="4"/>
  <c r="K61" i="4"/>
  <c r="J61" i="4"/>
  <c r="K60" i="4"/>
  <c r="J60" i="4"/>
  <c r="K59" i="4"/>
  <c r="J59" i="4"/>
  <c r="K58" i="4"/>
  <c r="J58" i="4"/>
  <c r="J57" i="4" s="1"/>
  <c r="K56" i="4"/>
  <c r="J56" i="4"/>
  <c r="K52" i="4"/>
  <c r="K51" i="4"/>
  <c r="J50" i="4"/>
  <c r="J49" i="4" s="1"/>
  <c r="J42" i="4"/>
  <c r="J41" i="4" s="1"/>
  <c r="L47" i="4"/>
  <c r="I47" i="4" s="1"/>
  <c r="H47" i="4" s="1"/>
  <c r="N44" i="4"/>
  <c r="M44" i="4"/>
  <c r="L44" i="4"/>
  <c r="N43" i="4"/>
  <c r="M43" i="4"/>
  <c r="L43" i="4"/>
  <c r="N42" i="4"/>
  <c r="M42" i="4"/>
  <c r="N40" i="4"/>
  <c r="M40" i="4"/>
  <c r="L40" i="4"/>
  <c r="N39" i="4"/>
  <c r="M39" i="4"/>
  <c r="N36" i="4"/>
  <c r="N35" i="4"/>
  <c r="N34" i="4"/>
  <c r="N33" i="4"/>
  <c r="N31" i="4"/>
  <c r="N30" i="4"/>
  <c r="N29" i="4"/>
  <c r="N28" i="4"/>
  <c r="N27" i="4"/>
  <c r="N25" i="4"/>
  <c r="L36" i="4"/>
  <c r="I36" i="4" s="1"/>
  <c r="L35" i="4"/>
  <c r="I35" i="4" s="1"/>
  <c r="L34" i="4"/>
  <c r="I34" i="4" s="1"/>
  <c r="L33" i="4"/>
  <c r="I33" i="4" s="1"/>
  <c r="L30" i="4"/>
  <c r="I30" i="4" s="1"/>
  <c r="L29" i="4"/>
  <c r="I29" i="4" s="1"/>
  <c r="L28" i="4"/>
  <c r="I28" i="4" s="1"/>
  <c r="N23" i="4"/>
  <c r="N22" i="4"/>
  <c r="N19" i="4"/>
  <c r="M19" i="4"/>
  <c r="L19" i="4"/>
  <c r="N18" i="4"/>
  <c r="M18" i="4"/>
  <c r="N16" i="4"/>
  <c r="M16" i="4"/>
  <c r="N15" i="4"/>
  <c r="M15" i="4"/>
  <c r="N13" i="4"/>
  <c r="M13" i="4"/>
  <c r="L13" i="4"/>
  <c r="N12" i="4"/>
  <c r="M12" i="4"/>
  <c r="L12" i="4"/>
  <c r="N11" i="4"/>
  <c r="M11" i="4"/>
  <c r="N9" i="4"/>
  <c r="M9" i="4"/>
  <c r="M8" i="4"/>
  <c r="K19" i="4"/>
  <c r="J19" i="4"/>
  <c r="K18" i="4"/>
  <c r="J18" i="4"/>
  <c r="K16" i="4"/>
  <c r="J16" i="4"/>
  <c r="K15" i="4"/>
  <c r="J15" i="4"/>
  <c r="K13" i="4"/>
  <c r="J13" i="4"/>
  <c r="K12" i="4"/>
  <c r="J12" i="4"/>
  <c r="K11" i="4"/>
  <c r="J11" i="4"/>
  <c r="K9" i="4"/>
  <c r="J9" i="4"/>
  <c r="K8" i="4"/>
  <c r="J8" i="4"/>
  <c r="R102" i="4"/>
  <c r="I101" i="4"/>
  <c r="H101" i="4" s="1"/>
  <c r="H100" i="4" s="1"/>
  <c r="D101" i="4"/>
  <c r="N100" i="4"/>
  <c r="M100" i="4"/>
  <c r="L100" i="4"/>
  <c r="K100" i="4"/>
  <c r="J100" i="4"/>
  <c r="G100" i="4"/>
  <c r="D99" i="4"/>
  <c r="D98" i="4"/>
  <c r="N97" i="4"/>
  <c r="M97" i="4"/>
  <c r="K97" i="4"/>
  <c r="J97" i="4"/>
  <c r="F97" i="4"/>
  <c r="D96" i="4"/>
  <c r="D95" i="4"/>
  <c r="D94" i="4"/>
  <c r="D93" i="4" s="1"/>
  <c r="N93" i="4"/>
  <c r="M93" i="4"/>
  <c r="F93" i="4"/>
  <c r="D92" i="4"/>
  <c r="D91" i="4"/>
  <c r="N90" i="4"/>
  <c r="M90" i="4"/>
  <c r="F90" i="4"/>
  <c r="D88" i="4"/>
  <c r="D87" i="4"/>
  <c r="D86" i="4"/>
  <c r="N85" i="4"/>
  <c r="M85" i="4"/>
  <c r="G85" i="4"/>
  <c r="D84" i="4"/>
  <c r="D83" i="4"/>
  <c r="D82" i="4"/>
  <c r="D81" i="4"/>
  <c r="N80" i="4"/>
  <c r="M80" i="4"/>
  <c r="K80" i="4"/>
  <c r="G80" i="4"/>
  <c r="D79" i="4"/>
  <c r="D78" i="4"/>
  <c r="D77" i="4"/>
  <c r="N76" i="4"/>
  <c r="M76" i="4"/>
  <c r="K76" i="4"/>
  <c r="J76" i="4"/>
  <c r="G76" i="4"/>
  <c r="F75" i="4"/>
  <c r="E75" i="4"/>
  <c r="D74" i="4"/>
  <c r="D73" i="4"/>
  <c r="D72" i="4" s="1"/>
  <c r="N72" i="4"/>
  <c r="M72" i="4"/>
  <c r="G72" i="4"/>
  <c r="D71" i="4"/>
  <c r="D70" i="4"/>
  <c r="D69" i="4"/>
  <c r="N68" i="4"/>
  <c r="M68" i="4"/>
  <c r="G68" i="4"/>
  <c r="D67" i="4"/>
  <c r="D66" i="4"/>
  <c r="D65" i="4"/>
  <c r="F64" i="4"/>
  <c r="E64" i="4"/>
  <c r="D63" i="4"/>
  <c r="D62" i="4"/>
  <c r="D61" i="4"/>
  <c r="D60" i="4"/>
  <c r="D59" i="4"/>
  <c r="D58" i="4"/>
  <c r="N57" i="4"/>
  <c r="N54" i="4" s="1"/>
  <c r="M57" i="4"/>
  <c r="G57" i="4"/>
  <c r="G54" i="4" s="1"/>
  <c r="F57" i="4"/>
  <c r="F54" i="4" s="1"/>
  <c r="D56" i="4"/>
  <c r="D55" i="4"/>
  <c r="E54" i="4"/>
  <c r="D53" i="4"/>
  <c r="D52" i="4"/>
  <c r="D51" i="4"/>
  <c r="D50" i="4"/>
  <c r="N49" i="4"/>
  <c r="N48" i="4" s="1"/>
  <c r="M49" i="4"/>
  <c r="M48" i="4" s="1"/>
  <c r="F49" i="4"/>
  <c r="F48" i="4" s="1"/>
  <c r="D47" i="4"/>
  <c r="D46" i="4"/>
  <c r="N45" i="4"/>
  <c r="M45" i="4"/>
  <c r="K45" i="4"/>
  <c r="J45" i="4"/>
  <c r="F45" i="4"/>
  <c r="D44" i="4"/>
  <c r="D43" i="4"/>
  <c r="D42" i="4"/>
  <c r="K41" i="4"/>
  <c r="F41" i="4"/>
  <c r="D40" i="4"/>
  <c r="D39" i="4"/>
  <c r="D38" i="4"/>
  <c r="D36" i="4"/>
  <c r="D35" i="4"/>
  <c r="D34" i="4"/>
  <c r="D33" i="4"/>
  <c r="M32" i="4"/>
  <c r="K32" i="4"/>
  <c r="J32" i="4"/>
  <c r="F32" i="4"/>
  <c r="D31" i="4"/>
  <c r="D30" i="4"/>
  <c r="D29" i="4"/>
  <c r="D28" i="4"/>
  <c r="D27" i="4"/>
  <c r="M26" i="4"/>
  <c r="K26" i="4"/>
  <c r="J26" i="4"/>
  <c r="G26" i="4"/>
  <c r="F26" i="4"/>
  <c r="E26" i="4"/>
  <c r="D25" i="4"/>
  <c r="D23" i="4"/>
  <c r="D22" i="4"/>
  <c r="M21" i="4"/>
  <c r="M20" i="4" s="1"/>
  <c r="K21" i="4"/>
  <c r="K20" i="4"/>
  <c r="J21" i="4"/>
  <c r="J20" i="4" s="1"/>
  <c r="G21" i="4"/>
  <c r="F21" i="4"/>
  <c r="F20" i="4" s="1"/>
  <c r="E21" i="4"/>
  <c r="D19" i="4"/>
  <c r="D18" i="4"/>
  <c r="F17" i="4"/>
  <c r="D16" i="4"/>
  <c r="D15" i="4"/>
  <c r="F14" i="4"/>
  <c r="D13" i="4"/>
  <c r="D12" i="4"/>
  <c r="D11" i="4"/>
  <c r="G10" i="4"/>
  <c r="F10" i="4"/>
  <c r="E10" i="4"/>
  <c r="D9" i="4"/>
  <c r="D8" i="4"/>
  <c r="L31" i="4"/>
  <c r="I31" i="4" s="1"/>
  <c r="L46" i="4"/>
  <c r="I46" i="4" s="1"/>
  <c r="M55" i="4"/>
  <c r="L42" i="4"/>
  <c r="L27" i="4"/>
  <c r="I27" i="4" s="1"/>
  <c r="L11" i="4"/>
  <c r="G19" i="1"/>
  <c r="E19" i="1"/>
  <c r="E18" i="1" s="1"/>
  <c r="N10" i="4"/>
  <c r="M10" i="4"/>
  <c r="K10" i="4"/>
  <c r="J10" i="4"/>
  <c r="F48" i="1"/>
  <c r="F45" i="1" s="1"/>
  <c r="N17" i="4"/>
  <c r="M17" i="4"/>
  <c r="K17" i="4"/>
  <c r="J17" i="4"/>
  <c r="N14" i="4"/>
  <c r="M11" i="1"/>
  <c r="M14" i="4" s="1"/>
  <c r="K14" i="4"/>
  <c r="K11" i="1"/>
  <c r="J14" i="4" s="1"/>
  <c r="K7" i="4"/>
  <c r="L87" i="4"/>
  <c r="L99" i="4"/>
  <c r="I99" i="4" s="1"/>
  <c r="H99" i="4" s="1"/>
  <c r="L88" i="4"/>
  <c r="L86" i="4"/>
  <c r="L82" i="4"/>
  <c r="L81" i="4"/>
  <c r="L79" i="4"/>
  <c r="I79" i="4" s="1"/>
  <c r="H79" i="4" s="1"/>
  <c r="L78" i="4"/>
  <c r="I78" i="4" s="1"/>
  <c r="H78" i="4" s="1"/>
  <c r="L77" i="4"/>
  <c r="L73" i="4"/>
  <c r="L69" i="4"/>
  <c r="N8" i="4"/>
  <c r="L83" i="4"/>
  <c r="K50" i="4"/>
  <c r="L96" i="4"/>
  <c r="L98" i="4"/>
  <c r="J53" i="4"/>
  <c r="I53" i="4" s="1"/>
  <c r="H53" i="4" s="1"/>
  <c r="L71" i="4"/>
  <c r="L95" i="4"/>
  <c r="G74" i="1"/>
  <c r="L94" i="4"/>
  <c r="K91" i="4"/>
  <c r="K74" i="4"/>
  <c r="I74" i="4" l="1"/>
  <c r="H74" i="4" s="1"/>
  <c r="L90" i="4"/>
  <c r="L72" i="4"/>
  <c r="O47" i="4"/>
  <c r="L22" i="4"/>
  <c r="I22" i="4" s="1"/>
  <c r="H22" i="4" s="1"/>
  <c r="O22" i="4" s="1"/>
  <c r="I91" i="4"/>
  <c r="J72" i="4"/>
  <c r="I43" i="4"/>
  <c r="H43" i="4" s="1"/>
  <c r="O43" i="4" s="1"/>
  <c r="D45" i="4"/>
  <c r="K68" i="4"/>
  <c r="D90" i="4"/>
  <c r="K7" i="1"/>
  <c r="J7" i="4" s="1"/>
  <c r="H35" i="4"/>
  <c r="O35" i="4" s="1"/>
  <c r="K57" i="4"/>
  <c r="K54" i="4" s="1"/>
  <c r="J80" i="4"/>
  <c r="I94" i="4"/>
  <c r="H94" i="4" s="1"/>
  <c r="O94" i="4" s="1"/>
  <c r="I82" i="4"/>
  <c r="H82" i="4" s="1"/>
  <c r="O82" i="4" s="1"/>
  <c r="J85" i="4"/>
  <c r="J75" i="4" s="1"/>
  <c r="O29" i="1"/>
  <c r="Q29" i="1" s="1"/>
  <c r="H36" i="4"/>
  <c r="O36" i="4" s="1"/>
  <c r="J68" i="4"/>
  <c r="O15" i="1"/>
  <c r="Q15" i="1" s="1"/>
  <c r="J39" i="1"/>
  <c r="I39" i="1" s="1"/>
  <c r="O39" i="1" s="1"/>
  <c r="Q39" i="1" s="1"/>
  <c r="D57" i="4"/>
  <c r="D54" i="4" s="1"/>
  <c r="Q54" i="4" s="1"/>
  <c r="E102" i="4"/>
  <c r="I88" i="4"/>
  <c r="H88" i="4" s="1"/>
  <c r="O88" i="4" s="1"/>
  <c r="I56" i="4"/>
  <c r="H56" i="4" s="1"/>
  <c r="O56" i="4" s="1"/>
  <c r="L93" i="4"/>
  <c r="I87" i="4"/>
  <c r="H87" i="4" s="1"/>
  <c r="O87" i="4" s="1"/>
  <c r="L9" i="4"/>
  <c r="I9" i="4" s="1"/>
  <c r="H9" i="4" s="1"/>
  <c r="O9" i="4" s="1"/>
  <c r="D17" i="4"/>
  <c r="H30" i="4"/>
  <c r="O30" i="4" s="1"/>
  <c r="L40" i="1"/>
  <c r="K49" i="4"/>
  <c r="K48" i="4" s="1"/>
  <c r="I44" i="4"/>
  <c r="H44" i="4" s="1"/>
  <c r="O44" i="4" s="1"/>
  <c r="D32" i="4"/>
  <c r="I40" i="4"/>
  <c r="H40" i="4" s="1"/>
  <c r="O40" i="4" s="1"/>
  <c r="I95" i="4"/>
  <c r="H95" i="4" s="1"/>
  <c r="O95" i="4" s="1"/>
  <c r="E76" i="1"/>
  <c r="K24" i="4"/>
  <c r="D76" i="4"/>
  <c r="N89" i="4"/>
  <c r="I71" i="4"/>
  <c r="H71" i="4" s="1"/>
  <c r="O71" i="4" s="1"/>
  <c r="I96" i="4"/>
  <c r="H96" i="4" s="1"/>
  <c r="O96" i="4" s="1"/>
  <c r="I12" i="4"/>
  <c r="H12" i="4" s="1"/>
  <c r="O12" i="4" s="1"/>
  <c r="N41" i="4"/>
  <c r="N37" i="4" s="1"/>
  <c r="J41" i="1"/>
  <c r="I41" i="1" s="1"/>
  <c r="G75" i="4"/>
  <c r="D21" i="4"/>
  <c r="D20" i="4" s="1"/>
  <c r="S20" i="4" s="1"/>
  <c r="L85" i="4"/>
  <c r="O66" i="1"/>
  <c r="Q66" i="1" s="1"/>
  <c r="J34" i="1"/>
  <c r="I34" i="1" s="1"/>
  <c r="O34" i="1" s="1"/>
  <c r="L76" i="4"/>
  <c r="I92" i="4"/>
  <c r="H92" i="4" s="1"/>
  <c r="O92" i="4" s="1"/>
  <c r="I45" i="4"/>
  <c r="I69" i="4"/>
  <c r="H69" i="4" s="1"/>
  <c r="I84" i="4"/>
  <c r="H84" i="4" s="1"/>
  <c r="O84" i="4" s="1"/>
  <c r="K85" i="4"/>
  <c r="K75" i="4" s="1"/>
  <c r="F76" i="1"/>
  <c r="O26" i="1"/>
  <c r="Q26" i="1" s="1"/>
  <c r="G64" i="4"/>
  <c r="L18" i="4"/>
  <c r="I18" i="4" s="1"/>
  <c r="H18" i="4" s="1"/>
  <c r="J10" i="1"/>
  <c r="I10" i="1" s="1"/>
  <c r="O10" i="1" s="1"/>
  <c r="Q10" i="1" s="1"/>
  <c r="I73" i="4"/>
  <c r="H73" i="4" s="1"/>
  <c r="O73" i="4" s="1"/>
  <c r="I81" i="4"/>
  <c r="H81" i="4" s="1"/>
  <c r="O81" i="4" s="1"/>
  <c r="L38" i="4"/>
  <c r="I38" i="4" s="1"/>
  <c r="H38" i="4" s="1"/>
  <c r="O38" i="4" s="1"/>
  <c r="D41" i="4"/>
  <c r="M64" i="4"/>
  <c r="O9" i="1"/>
  <c r="Q9" i="1" s="1"/>
  <c r="D19" i="1"/>
  <c r="O19" i="1" s="1"/>
  <c r="Q19" i="1" s="1"/>
  <c r="J37" i="4"/>
  <c r="O13" i="1"/>
  <c r="Q13" i="1" s="1"/>
  <c r="K93" i="4"/>
  <c r="H27" i="4"/>
  <c r="O27" i="4" s="1"/>
  <c r="N26" i="4"/>
  <c r="O25" i="1"/>
  <c r="Q25" i="1" s="1"/>
  <c r="O32" i="1"/>
  <c r="Q32" i="1" s="1"/>
  <c r="D85" i="4"/>
  <c r="H28" i="4"/>
  <c r="O28" i="4" s="1"/>
  <c r="O78" i="4"/>
  <c r="L15" i="4"/>
  <c r="I15" i="4" s="1"/>
  <c r="L52" i="4"/>
  <c r="I52" i="4" s="1"/>
  <c r="H52" i="4" s="1"/>
  <c r="O52" i="4" s="1"/>
  <c r="O79" i="4"/>
  <c r="L26" i="4"/>
  <c r="I70" i="4"/>
  <c r="H70" i="4" s="1"/>
  <c r="O70" i="4" s="1"/>
  <c r="I13" i="4"/>
  <c r="H13" i="4" s="1"/>
  <c r="O13" i="4" s="1"/>
  <c r="L73" i="1"/>
  <c r="L72" i="1" s="1"/>
  <c r="L97" i="4"/>
  <c r="K37" i="4"/>
  <c r="M89" i="4"/>
  <c r="L63" i="4"/>
  <c r="I63" i="4" s="1"/>
  <c r="H63" i="4" s="1"/>
  <c r="O63" i="4" s="1"/>
  <c r="I42" i="4"/>
  <c r="H42" i="4" s="1"/>
  <c r="F7" i="4"/>
  <c r="D49" i="4"/>
  <c r="D48" i="4" s="1"/>
  <c r="S48" i="4" s="1"/>
  <c r="N64" i="4"/>
  <c r="H34" i="4"/>
  <c r="O34" i="4" s="1"/>
  <c r="I86" i="4"/>
  <c r="H86" i="4" s="1"/>
  <c r="O86" i="4" s="1"/>
  <c r="M7" i="1"/>
  <c r="M76" i="1" s="1"/>
  <c r="M54" i="4"/>
  <c r="M24" i="4"/>
  <c r="D68" i="4"/>
  <c r="D64" i="4" s="1"/>
  <c r="D97" i="4"/>
  <c r="D62" i="1"/>
  <c r="I39" i="4"/>
  <c r="H39" i="4" s="1"/>
  <c r="O39" i="4" s="1"/>
  <c r="J52" i="1"/>
  <c r="I52" i="1" s="1"/>
  <c r="O52" i="1" s="1"/>
  <c r="Q52" i="1" s="1"/>
  <c r="L61" i="4"/>
  <c r="I61" i="4" s="1"/>
  <c r="H61" i="4" s="1"/>
  <c r="O61" i="4" s="1"/>
  <c r="J75" i="1"/>
  <c r="I75" i="1" s="1"/>
  <c r="O75" i="1" s="1"/>
  <c r="L74" i="1"/>
  <c r="H31" i="4"/>
  <c r="O31" i="4" s="1"/>
  <c r="L45" i="4"/>
  <c r="O74" i="4"/>
  <c r="J70" i="1"/>
  <c r="I70" i="1" s="1"/>
  <c r="O70" i="1" s="1"/>
  <c r="Q70" i="1" s="1"/>
  <c r="I50" i="4"/>
  <c r="H50" i="4" s="1"/>
  <c r="O99" i="4"/>
  <c r="G18" i="1"/>
  <c r="G76" i="1" s="1"/>
  <c r="J24" i="4"/>
  <c r="F37" i="4"/>
  <c r="L16" i="4"/>
  <c r="I16" i="4" s="1"/>
  <c r="H16" i="4" s="1"/>
  <c r="O16" i="4" s="1"/>
  <c r="J42" i="1"/>
  <c r="I42" i="1" s="1"/>
  <c r="O42" i="1" s="1"/>
  <c r="Q42" i="1" s="1"/>
  <c r="O36" i="1"/>
  <c r="J48" i="4"/>
  <c r="O56" i="1"/>
  <c r="Q56" i="1" s="1"/>
  <c r="I83" i="4"/>
  <c r="H83" i="4" s="1"/>
  <c r="O83" i="4" s="1"/>
  <c r="J93" i="4"/>
  <c r="J89" i="4" s="1"/>
  <c r="L68" i="4"/>
  <c r="D74" i="1"/>
  <c r="L17" i="4"/>
  <c r="I11" i="4"/>
  <c r="H11" i="4" s="1"/>
  <c r="M75" i="4"/>
  <c r="F89" i="4"/>
  <c r="L23" i="4"/>
  <c r="L64" i="1"/>
  <c r="L62" i="1" s="1"/>
  <c r="J47" i="1"/>
  <c r="I47" i="1" s="1"/>
  <c r="O47" i="1" s="1"/>
  <c r="Q47" i="1" s="1"/>
  <c r="O21" i="1"/>
  <c r="Q21" i="1" s="1"/>
  <c r="N76" i="1"/>
  <c r="I98" i="4"/>
  <c r="M41" i="4"/>
  <c r="M37" i="4" s="1"/>
  <c r="H76" i="1"/>
  <c r="O44" i="1"/>
  <c r="Q44" i="1" s="1"/>
  <c r="O17" i="1"/>
  <c r="Q17" i="1" s="1"/>
  <c r="N32" i="4"/>
  <c r="D67" i="1"/>
  <c r="O28" i="1"/>
  <c r="Q28" i="1" s="1"/>
  <c r="K90" i="4"/>
  <c r="D48" i="1"/>
  <c r="D45" i="1" s="1"/>
  <c r="H25" i="4"/>
  <c r="O25" i="4" s="1"/>
  <c r="D10" i="4"/>
  <c r="O53" i="4"/>
  <c r="H29" i="4"/>
  <c r="O29" i="4" s="1"/>
  <c r="L37" i="1"/>
  <c r="O24" i="1"/>
  <c r="Q24" i="1" s="1"/>
  <c r="O31" i="1"/>
  <c r="Q31" i="1" s="1"/>
  <c r="P76" i="1"/>
  <c r="J50" i="1"/>
  <c r="I50" i="1" s="1"/>
  <c r="O50" i="1" s="1"/>
  <c r="Q50" i="1" s="1"/>
  <c r="L59" i="4"/>
  <c r="I59" i="4" s="1"/>
  <c r="H59" i="4" s="1"/>
  <c r="O59" i="4" s="1"/>
  <c r="H33" i="4"/>
  <c r="I32" i="4"/>
  <c r="O8" i="1"/>
  <c r="H91" i="4"/>
  <c r="K72" i="4"/>
  <c r="H65" i="4"/>
  <c r="I77" i="4"/>
  <c r="L11" i="1"/>
  <c r="H46" i="4"/>
  <c r="H45" i="4" s="1"/>
  <c r="O45" i="4" s="1"/>
  <c r="I55" i="4"/>
  <c r="L32" i="4"/>
  <c r="I19" i="4"/>
  <c r="H19" i="4" s="1"/>
  <c r="O19" i="4" s="1"/>
  <c r="O12" i="1"/>
  <c r="Q12" i="1" s="1"/>
  <c r="Q57" i="1"/>
  <c r="L71" i="1"/>
  <c r="J71" i="1" s="1"/>
  <c r="I71" i="1" s="1"/>
  <c r="O71" i="1" s="1"/>
  <c r="Q71" i="1" s="1"/>
  <c r="O16" i="1"/>
  <c r="Q16" i="1" s="1"/>
  <c r="O23" i="1"/>
  <c r="Q23" i="1" s="1"/>
  <c r="D33" i="1"/>
  <c r="L58" i="4"/>
  <c r="J49" i="1"/>
  <c r="I49" i="1" s="1"/>
  <c r="O49" i="1" s="1"/>
  <c r="Q49" i="1" s="1"/>
  <c r="L53" i="1"/>
  <c r="I38" i="1"/>
  <c r="I100" i="4"/>
  <c r="D14" i="4"/>
  <c r="D26" i="4"/>
  <c r="L33" i="1"/>
  <c r="O30" i="1"/>
  <c r="Q30" i="1" s="1"/>
  <c r="I18" i="1"/>
  <c r="J18" i="1"/>
  <c r="L60" i="4"/>
  <c r="I60" i="4" s="1"/>
  <c r="H60" i="4" s="1"/>
  <c r="O60" i="4" s="1"/>
  <c r="J51" i="1"/>
  <c r="I51" i="1" s="1"/>
  <c r="O51" i="1" s="1"/>
  <c r="Q51" i="1" s="1"/>
  <c r="L67" i="4"/>
  <c r="I67" i="4" s="1"/>
  <c r="H67" i="4" s="1"/>
  <c r="O67" i="4" s="1"/>
  <c r="J65" i="1"/>
  <c r="I65" i="1" s="1"/>
  <c r="O65" i="1" s="1"/>
  <c r="Q65" i="1" s="1"/>
  <c r="L18" i="1"/>
  <c r="I35" i="1"/>
  <c r="O35" i="1" s="1"/>
  <c r="Q35" i="1" s="1"/>
  <c r="L41" i="4"/>
  <c r="J54" i="4"/>
  <c r="N75" i="4"/>
  <c r="D80" i="4"/>
  <c r="N21" i="4"/>
  <c r="N20" i="4" s="1"/>
  <c r="O14" i="1"/>
  <c r="Q14" i="1" s="1"/>
  <c r="O27" i="1"/>
  <c r="Q27" i="1" s="1"/>
  <c r="O22" i="1"/>
  <c r="Q22" i="1" s="1"/>
  <c r="D37" i="1"/>
  <c r="I26" i="4"/>
  <c r="F24" i="4"/>
  <c r="O20" i="1"/>
  <c r="O55" i="1"/>
  <c r="Q55" i="1" s="1"/>
  <c r="O59" i="1"/>
  <c r="Q59" i="1" s="1"/>
  <c r="L80" i="4"/>
  <c r="D100" i="4"/>
  <c r="O101" i="4"/>
  <c r="O100" i="4" s="1"/>
  <c r="D40" i="1"/>
  <c r="J63" i="1"/>
  <c r="L69" i="1"/>
  <c r="J43" i="1"/>
  <c r="I43" i="1" s="1"/>
  <c r="O43" i="1" s="1"/>
  <c r="Q43" i="1" s="1"/>
  <c r="L51" i="4"/>
  <c r="I51" i="4" s="1"/>
  <c r="H51" i="4" s="1"/>
  <c r="O51" i="4" s="1"/>
  <c r="D7" i="1"/>
  <c r="L8" i="4"/>
  <c r="I8" i="4" s="1"/>
  <c r="Q60" i="1"/>
  <c r="D89" i="4" l="1"/>
  <c r="D37" i="4"/>
  <c r="K76" i="1"/>
  <c r="K64" i="4"/>
  <c r="D24" i="4"/>
  <c r="Q48" i="4"/>
  <c r="J64" i="4"/>
  <c r="J102" i="4" s="1"/>
  <c r="J73" i="1"/>
  <c r="I37" i="1"/>
  <c r="J37" i="1"/>
  <c r="Q20" i="4"/>
  <c r="L89" i="4"/>
  <c r="I93" i="4"/>
  <c r="H85" i="4"/>
  <c r="O80" i="4"/>
  <c r="M7" i="4"/>
  <c r="M102" i="4" s="1"/>
  <c r="G102" i="4"/>
  <c r="H41" i="4"/>
  <c r="H37" i="4" s="1"/>
  <c r="O93" i="4"/>
  <c r="I90" i="4"/>
  <c r="I41" i="4"/>
  <c r="I37" i="4" s="1"/>
  <c r="J33" i="1"/>
  <c r="L75" i="4"/>
  <c r="S64" i="4"/>
  <c r="Q64" i="4"/>
  <c r="L24" i="4"/>
  <c r="I24" i="4"/>
  <c r="O72" i="4"/>
  <c r="D18" i="1"/>
  <c r="D76" i="1" s="1"/>
  <c r="L48" i="1"/>
  <c r="L45" i="1" s="1"/>
  <c r="L37" i="4"/>
  <c r="I68" i="4"/>
  <c r="N24" i="4"/>
  <c r="N102" i="4" s="1"/>
  <c r="H93" i="4"/>
  <c r="S89" i="4"/>
  <c r="Q89" i="4"/>
  <c r="H10" i="4"/>
  <c r="O11" i="4"/>
  <c r="O10" i="4" s="1"/>
  <c r="H26" i="4"/>
  <c r="H80" i="4"/>
  <c r="H72" i="4"/>
  <c r="D75" i="4"/>
  <c r="S75" i="4" s="1"/>
  <c r="K89" i="4"/>
  <c r="K102" i="4" s="1"/>
  <c r="I85" i="4"/>
  <c r="I10" i="4"/>
  <c r="I80" i="4"/>
  <c r="O42" i="4"/>
  <c r="O41" i="4" s="1"/>
  <c r="O37" i="4" s="1"/>
  <c r="I74" i="1"/>
  <c r="I72" i="4"/>
  <c r="I23" i="4"/>
  <c r="L21" i="4"/>
  <c r="L20" i="4" s="1"/>
  <c r="F102" i="4"/>
  <c r="D7" i="4"/>
  <c r="Q7" i="4" s="1"/>
  <c r="O46" i="4"/>
  <c r="S54" i="4"/>
  <c r="J74" i="1"/>
  <c r="O38" i="1"/>
  <c r="O37" i="1" s="1"/>
  <c r="Q37" i="1" s="1"/>
  <c r="I73" i="1"/>
  <c r="J72" i="1"/>
  <c r="L66" i="4"/>
  <c r="I66" i="4" s="1"/>
  <c r="H66" i="4" s="1"/>
  <c r="O66" i="4" s="1"/>
  <c r="J64" i="1"/>
  <c r="I64" i="1" s="1"/>
  <c r="O64" i="1" s="1"/>
  <c r="Q64" i="1" s="1"/>
  <c r="I97" i="4"/>
  <c r="H98" i="4"/>
  <c r="J69" i="1"/>
  <c r="L67" i="1"/>
  <c r="H8" i="4"/>
  <c r="O18" i="1"/>
  <c r="Q20" i="1"/>
  <c r="J53" i="1"/>
  <c r="I53" i="1" s="1"/>
  <c r="O53" i="1" s="1"/>
  <c r="Q53" i="1" s="1"/>
  <c r="L62" i="4"/>
  <c r="I62" i="4" s="1"/>
  <c r="H62" i="4" s="1"/>
  <c r="O62" i="4" s="1"/>
  <c r="L14" i="4"/>
  <c r="L7" i="1"/>
  <c r="I49" i="4"/>
  <c r="I48" i="4" s="1"/>
  <c r="I63" i="1"/>
  <c r="I76" i="4"/>
  <c r="H77" i="4"/>
  <c r="O85" i="4"/>
  <c r="H49" i="4"/>
  <c r="H48" i="4" s="1"/>
  <c r="O50" i="4"/>
  <c r="O49" i="4" s="1"/>
  <c r="O48" i="4" s="1"/>
  <c r="L49" i="4"/>
  <c r="L48" i="4" s="1"/>
  <c r="I33" i="1"/>
  <c r="L57" i="4"/>
  <c r="I58" i="4"/>
  <c r="O65" i="4"/>
  <c r="H68" i="4"/>
  <c r="O69" i="4"/>
  <c r="O68" i="4" s="1"/>
  <c r="H90" i="4"/>
  <c r="O91" i="4"/>
  <c r="O90" i="4" s="1"/>
  <c r="O41" i="1"/>
  <c r="I40" i="1"/>
  <c r="I14" i="4"/>
  <c r="H15" i="4"/>
  <c r="O33" i="1"/>
  <c r="Q33" i="1" s="1"/>
  <c r="Q34" i="1"/>
  <c r="H55" i="4"/>
  <c r="J11" i="1"/>
  <c r="O74" i="1"/>
  <c r="Q74" i="1" s="1"/>
  <c r="Q75" i="1"/>
  <c r="O26" i="4"/>
  <c r="Q8" i="1"/>
  <c r="S37" i="4"/>
  <c r="Q37" i="4"/>
  <c r="I17" i="4"/>
  <c r="Q100" i="4"/>
  <c r="S100" i="4"/>
  <c r="J40" i="1"/>
  <c r="S24" i="4"/>
  <c r="Q24" i="4"/>
  <c r="O33" i="4"/>
  <c r="O32" i="4" s="1"/>
  <c r="H32" i="4"/>
  <c r="O18" i="4"/>
  <c r="O17" i="4" s="1"/>
  <c r="H17" i="4"/>
  <c r="Q75" i="4" l="1"/>
  <c r="Q102" i="4" s="1"/>
  <c r="J48" i="1"/>
  <c r="S7" i="4"/>
  <c r="I89" i="4"/>
  <c r="Q18" i="1"/>
  <c r="H24" i="4"/>
  <c r="I75" i="4"/>
  <c r="J62" i="1"/>
  <c r="D102" i="4"/>
  <c r="S102" i="4" s="1"/>
  <c r="L54" i="4"/>
  <c r="O64" i="4"/>
  <c r="H64" i="4"/>
  <c r="O73" i="1"/>
  <c r="I72" i="1"/>
  <c r="I64" i="4"/>
  <c r="O98" i="4"/>
  <c r="O97" i="4" s="1"/>
  <c r="O89" i="4" s="1"/>
  <c r="H97" i="4"/>
  <c r="H89" i="4" s="1"/>
  <c r="O24" i="4"/>
  <c r="Q38" i="1"/>
  <c r="L64" i="4"/>
  <c r="I7" i="4"/>
  <c r="H23" i="4"/>
  <c r="I21" i="4"/>
  <c r="I20" i="4" s="1"/>
  <c r="O40" i="1"/>
  <c r="Q40" i="1" s="1"/>
  <c r="Q41" i="1"/>
  <c r="I62" i="1"/>
  <c r="O63" i="1"/>
  <c r="I48" i="1"/>
  <c r="J45" i="1"/>
  <c r="H76" i="4"/>
  <c r="H75" i="4" s="1"/>
  <c r="O77" i="4"/>
  <c r="O76" i="4" s="1"/>
  <c r="O75" i="4" s="1"/>
  <c r="I11" i="1"/>
  <c r="J7" i="1"/>
  <c r="O55" i="4"/>
  <c r="O15" i="4"/>
  <c r="O14" i="4" s="1"/>
  <c r="H14" i="4"/>
  <c r="H7" i="4" s="1"/>
  <c r="O8" i="4"/>
  <c r="I69" i="1"/>
  <c r="J67" i="1"/>
  <c r="H58" i="4"/>
  <c r="I57" i="4"/>
  <c r="I54" i="4" s="1"/>
  <c r="L76" i="1"/>
  <c r="L7" i="4"/>
  <c r="L102" i="4" l="1"/>
  <c r="I102" i="4"/>
  <c r="Q73" i="1"/>
  <c r="O72" i="1"/>
  <c r="Q72" i="1" s="1"/>
  <c r="O7" i="4"/>
  <c r="H21" i="4"/>
  <c r="H20" i="4" s="1"/>
  <c r="O23" i="4"/>
  <c r="O21" i="4" s="1"/>
  <c r="O20" i="4" s="1"/>
  <c r="I45" i="1"/>
  <c r="O48" i="1"/>
  <c r="H57" i="4"/>
  <c r="H54" i="4" s="1"/>
  <c r="O58" i="4"/>
  <c r="O57" i="4" s="1"/>
  <c r="O54" i="4" s="1"/>
  <c r="O62" i="1"/>
  <c r="Q62" i="1" s="1"/>
  <c r="Q63" i="1"/>
  <c r="J76" i="1"/>
  <c r="I67" i="1"/>
  <c r="O69" i="1"/>
  <c r="O11" i="1"/>
  <c r="I7" i="1"/>
  <c r="H102" i="4" l="1"/>
  <c r="O102" i="4"/>
  <c r="I76" i="1"/>
  <c r="Q11" i="1"/>
  <c r="O7" i="1"/>
  <c r="O67" i="1"/>
  <c r="Q67" i="1" s="1"/>
  <c r="Q69" i="1"/>
  <c r="Q48" i="1"/>
  <c r="O45" i="1"/>
  <c r="Q45" i="1" s="1"/>
  <c r="O76" i="1" l="1"/>
  <c r="Q76" i="1" s="1"/>
  <c r="Q7" i="1"/>
</calcChain>
</file>

<file path=xl/sharedStrings.xml><?xml version="1.0" encoding="utf-8"?>
<sst xmlns="http://schemas.openxmlformats.org/spreadsheetml/2006/main" count="910" uniqueCount="472">
  <si>
    <t>Priorytet inwestycyjny</t>
  </si>
  <si>
    <t>Kategoria regionu (*)</t>
  </si>
  <si>
    <t>Wsparcie UE</t>
  </si>
  <si>
    <t>Wkład krajowy</t>
  </si>
  <si>
    <t>Krajowe środki publiczne</t>
  </si>
  <si>
    <t>Krajowe środki prywatne</t>
  </si>
  <si>
    <t>Finansowanie ogółem</t>
  </si>
  <si>
    <t>Szacowany
poziom 
cross-financingu (%)</t>
  </si>
  <si>
    <t>Główna alokacja (**)</t>
  </si>
  <si>
    <t>Rezerwa wykonania</t>
  </si>
  <si>
    <t xml:space="preserve">Udział
rezerwy wykonania 
w stos. do 
całkowitej kwoty 
wsparcia UE </t>
  </si>
  <si>
    <t>Wkład EBI</t>
  </si>
  <si>
    <t>ogółem</t>
  </si>
  <si>
    <t>FS</t>
  </si>
  <si>
    <t>EFRR</t>
  </si>
  <si>
    <t>EFS ***</t>
  </si>
  <si>
    <t>budżet
państwa</t>
  </si>
  <si>
    <t>budżet województwa</t>
  </si>
  <si>
    <t>budżet pozostałych jst</t>
  </si>
  <si>
    <t>inne</t>
  </si>
  <si>
    <t>Wsparcie
UE</t>
  </si>
  <si>
    <t>Wsparcie 
UE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</si>
  <si>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</si>
  <si>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</si>
  <si>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</si>
  <si>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</si>
  <si>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</si>
  <si>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</si>
  <si>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</si>
  <si>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</si>
  <si>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</si>
  <si>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</si>
  <si>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 xml:space="preserve">k </t>
  </si>
  <si>
    <t>l</t>
  </si>
  <si>
    <t>m</t>
  </si>
  <si>
    <t>n</t>
  </si>
  <si>
    <t>o</t>
  </si>
  <si>
    <t>p</t>
  </si>
  <si>
    <t>q</t>
  </si>
  <si>
    <t>=b+c+d</t>
  </si>
  <si>
    <t>=f+k</t>
  </si>
  <si>
    <t>=g+h+i+j</t>
  </si>
  <si>
    <t>=a+e</t>
  </si>
  <si>
    <t>=a-o</t>
  </si>
  <si>
    <t>=o/a*100%</t>
  </si>
  <si>
    <t>oś priorytetowa nr VI</t>
  </si>
  <si>
    <t>dzialanie nr 6.1</t>
  </si>
  <si>
    <t>8i</t>
  </si>
  <si>
    <t>dzialanie nr 6.2</t>
  </si>
  <si>
    <t>dzialanie nr 6.3</t>
  </si>
  <si>
    <t>8iii</t>
  </si>
  <si>
    <t>dzialanie nr 6.4</t>
  </si>
  <si>
    <t>8iv</t>
  </si>
  <si>
    <t>dzialanie nr 6.5</t>
  </si>
  <si>
    <t>8v</t>
  </si>
  <si>
    <t>dzialanie nr 6.6</t>
  </si>
  <si>
    <t>dzialanie nr 6.7</t>
  </si>
  <si>
    <t>8vi</t>
  </si>
  <si>
    <t>oś priorytetowa nr VII</t>
  </si>
  <si>
    <t>dzialanie nr 7.1</t>
  </si>
  <si>
    <t>9i</t>
  </si>
  <si>
    <t>dzialanie nr 7.2</t>
  </si>
  <si>
    <t>dzialanie nr 7.3</t>
  </si>
  <si>
    <t>dzialanie nr 7.4</t>
  </si>
  <si>
    <t>poddziałanie nr 7.4.1</t>
  </si>
  <si>
    <t>poddziałanie nr 7.4.2</t>
  </si>
  <si>
    <t>dzialanie nr 7.5</t>
  </si>
  <si>
    <t>9iv</t>
  </si>
  <si>
    <t>dzialanie nr 7.6</t>
  </si>
  <si>
    <t>9v</t>
  </si>
  <si>
    <t>poddziałanie nr 7.6.1</t>
  </si>
  <si>
    <t>oś priorytetowa nr VIII</t>
  </si>
  <si>
    <t>dzialanie nr 8.1</t>
  </si>
  <si>
    <t>10i</t>
  </si>
  <si>
    <t>poddziałanie nr 8.1.1</t>
  </si>
  <si>
    <t>poddziałanie nr 8.1.2</t>
  </si>
  <si>
    <t>poddziałanie nr 8.1.3</t>
  </si>
  <si>
    <t>dzialanie nr 8.2</t>
  </si>
  <si>
    <t>poddziałanie nr 8.2.1</t>
  </si>
  <si>
    <t>poddziałanie nr 8.2.2</t>
  </si>
  <si>
    <t>poddziałanie nr 8.2.3</t>
  </si>
  <si>
    <t>dzialanie nr 8.3</t>
  </si>
  <si>
    <t>10iii</t>
  </si>
  <si>
    <t>dzialanie nr 8.4</t>
  </si>
  <si>
    <t>10iv</t>
  </si>
  <si>
    <t>poddziałanie nr 8.4.1</t>
  </si>
  <si>
    <t>poddziałanie nr 8.4.2</t>
  </si>
  <si>
    <t>dzialanie nr 8.5</t>
  </si>
  <si>
    <t>oś priorytetowa nr V</t>
  </si>
  <si>
    <t>7b</t>
  </si>
  <si>
    <t>7d</t>
  </si>
  <si>
    <t>dzialanie nr 5.1</t>
  </si>
  <si>
    <t>poddziałanie nr 5.1.1</t>
  </si>
  <si>
    <t>dzialanie nr 5.2</t>
  </si>
  <si>
    <t>poddziałanie nr 5.1.2</t>
  </si>
  <si>
    <t>poddziałanie nr 5.1.3</t>
  </si>
  <si>
    <t>oś priorytetowa nr IV</t>
  </si>
  <si>
    <t>5b</t>
  </si>
  <si>
    <t>dzialanie nr 4.1</t>
  </si>
  <si>
    <t>6a</t>
  </si>
  <si>
    <t>6b</t>
  </si>
  <si>
    <t>dzialanie nr 4.2</t>
  </si>
  <si>
    <t>dzialanie nr 4.3</t>
  </si>
  <si>
    <t>6c</t>
  </si>
  <si>
    <t>dzialanie nr 4.4</t>
  </si>
  <si>
    <t>poddziałanie nr 4.4.1</t>
  </si>
  <si>
    <t>poddziałanie nr 4.4.2</t>
  </si>
  <si>
    <t>6d</t>
  </si>
  <si>
    <t>dzialanie nr 4.5</t>
  </si>
  <si>
    <t>poddziałanie nr 4.5.1</t>
  </si>
  <si>
    <t>poddziałanie nr 4.5.2</t>
  </si>
  <si>
    <t>oś priorytetowa nr III</t>
  </si>
  <si>
    <t>4a</t>
  </si>
  <si>
    <t>dzialanie nr 3.1</t>
  </si>
  <si>
    <t>4c</t>
  </si>
  <si>
    <t>dzialanie nr 3.2</t>
  </si>
  <si>
    <t>poddziałanie nr 3.2.1</t>
  </si>
  <si>
    <t>poddziałanie nr 3.2.2</t>
  </si>
  <si>
    <t>poddziałanie nr 3.2.3</t>
  </si>
  <si>
    <t>4e</t>
  </si>
  <si>
    <t>dzialanie nr 3.3</t>
  </si>
  <si>
    <t>poddziałanie nr 3.3.3</t>
  </si>
  <si>
    <t>poddziałanie nr 3.3.2</t>
  </si>
  <si>
    <t>poddziałanie nr 3.3.1</t>
  </si>
  <si>
    <t>dzialanie nr 3.4</t>
  </si>
  <si>
    <t>4g</t>
  </si>
  <si>
    <t>oś priorytetowa nr II</t>
  </si>
  <si>
    <t>2c</t>
  </si>
  <si>
    <t>dzialanie nr 2.1</t>
  </si>
  <si>
    <t>oś priorytetowa nr I</t>
  </si>
  <si>
    <t>1b</t>
  </si>
  <si>
    <t>dzialanie nr 1.1</t>
  </si>
  <si>
    <t>3a</t>
  </si>
  <si>
    <t>dzialanie nr 1.2</t>
  </si>
  <si>
    <t>dzialanie nr 1.3</t>
  </si>
  <si>
    <t>poddziałanie nr 1.3.1</t>
  </si>
  <si>
    <t>poddziałanie nr 1.3.2</t>
  </si>
  <si>
    <t>dzialanie nr 1.4</t>
  </si>
  <si>
    <t>poddziałanie nr 1.4.1</t>
  </si>
  <si>
    <t>poddziałanie nr 1.4.2</t>
  </si>
  <si>
    <t>3b</t>
  </si>
  <si>
    <t>3c</t>
  </si>
  <si>
    <t>dzialanie nr 1.5</t>
  </si>
  <si>
    <t>dzialanie nr 9.1</t>
  </si>
  <si>
    <t>poddziałanie nr 9.1.1</t>
  </si>
  <si>
    <t>poddziałanie nr 9.1.2</t>
  </si>
  <si>
    <t>9a</t>
  </si>
  <si>
    <t>9b</t>
  </si>
  <si>
    <t>dzialanie nr 9.2</t>
  </si>
  <si>
    <t>poddziałanie nr 9.2.1</t>
  </si>
  <si>
    <t>poddziałanie nr 9.2.2</t>
  </si>
  <si>
    <t>poddziałanie nr 9.2.3</t>
  </si>
  <si>
    <t>dzialanie nr 9.3</t>
  </si>
  <si>
    <t>10a</t>
  </si>
  <si>
    <t>poddziałanie nr 9.3.1</t>
  </si>
  <si>
    <t>poddziałanie nr 9.3.2</t>
  </si>
  <si>
    <t>oś priorytetowa nr X</t>
  </si>
  <si>
    <t>oś priorytetowa nr IX</t>
  </si>
  <si>
    <t>nd</t>
  </si>
  <si>
    <t>dzialanie nr 10.1</t>
  </si>
  <si>
    <t>RAZEM</t>
  </si>
  <si>
    <t>poddziałanie nr 4.4.3</t>
  </si>
  <si>
    <t>reg.słabiej rozwinięte</t>
  </si>
  <si>
    <t>poddziałanie nr 7.6.2</t>
  </si>
  <si>
    <t>poddziałanie nr 1.5.1</t>
  </si>
  <si>
    <t>poddziałanie nr 1.5.2</t>
  </si>
  <si>
    <t>poddziałanie nr 6.3.1</t>
  </si>
  <si>
    <t>poddziałanie nr 6.3.2</t>
  </si>
  <si>
    <t>poddziałanie nr 1.3.3</t>
  </si>
  <si>
    <t>poddziałanie 2.1.1</t>
  </si>
  <si>
    <t>poddziałanie 2.1.2</t>
  </si>
  <si>
    <t>poddziałanie nr 3.2.4</t>
  </si>
  <si>
    <t>poddziałanie nr 3.2.5</t>
  </si>
  <si>
    <t>Priorytet I</t>
  </si>
  <si>
    <t>Cel szczegółowy</t>
  </si>
  <si>
    <t>EFS+</t>
  </si>
  <si>
    <t>FST</t>
  </si>
  <si>
    <t>1(i)</t>
  </si>
  <si>
    <t>dzialanie nr 1.6</t>
  </si>
  <si>
    <t>dzialanie nr 1.7</t>
  </si>
  <si>
    <t>dzialanie nr 1.8</t>
  </si>
  <si>
    <t>1(ii)</t>
  </si>
  <si>
    <t>1(iii)</t>
  </si>
  <si>
    <t>1(iv)</t>
  </si>
  <si>
    <t>dzialanie nr 2.2</t>
  </si>
  <si>
    <t>dzialanie nr 2.3</t>
  </si>
  <si>
    <t>dzialanie nr 2.4</t>
  </si>
  <si>
    <t>dzialanie nr 2.5</t>
  </si>
  <si>
    <t>dzialanie nr 2.6</t>
  </si>
  <si>
    <t>dzialanie nr 2.7</t>
  </si>
  <si>
    <t>dzialanie nr 2.8</t>
  </si>
  <si>
    <t>dzialanie nr 2.9</t>
  </si>
  <si>
    <t>dzialanie nr 2.10</t>
  </si>
  <si>
    <t>dzialanie nr 2.11</t>
  </si>
  <si>
    <t>2(i)</t>
  </si>
  <si>
    <t>2(ii)</t>
  </si>
  <si>
    <t>2(iv)</t>
  </si>
  <si>
    <t>2(v)</t>
  </si>
  <si>
    <t>2(vi)</t>
  </si>
  <si>
    <t>2(vii)</t>
  </si>
  <si>
    <t>2(viii)</t>
  </si>
  <si>
    <t>3(ii)</t>
  </si>
  <si>
    <t>4(ii)</t>
  </si>
  <si>
    <t>dzialanie nr 5.3</t>
  </si>
  <si>
    <t>dzialanie nr 5.4</t>
  </si>
  <si>
    <t>4(i)</t>
  </si>
  <si>
    <t>4(iii/iv)</t>
  </si>
  <si>
    <t>4(v)</t>
  </si>
  <si>
    <t>4(vi)</t>
  </si>
  <si>
    <t>dzialanie nr 6.8</t>
  </si>
  <si>
    <t>dzialanie nr 6.9</t>
  </si>
  <si>
    <t>dzialanie nr 6.10</t>
  </si>
  <si>
    <t>dzialanie nr 6.11</t>
  </si>
  <si>
    <t>dzialanie nr 6.12</t>
  </si>
  <si>
    <t>dzialanie nr 6.13</t>
  </si>
  <si>
    <t>dzialanie nr 6.14</t>
  </si>
  <si>
    <t>4(a)</t>
  </si>
  <si>
    <t>4(d)</t>
  </si>
  <si>
    <t>4(f)</t>
  </si>
  <si>
    <t>4(g)</t>
  </si>
  <si>
    <t>4(h)</t>
  </si>
  <si>
    <t>4(k)</t>
  </si>
  <si>
    <t>4(l)</t>
  </si>
  <si>
    <t>5(i)</t>
  </si>
  <si>
    <t>5(ii)</t>
  </si>
  <si>
    <t>=b+c+d+e</t>
  </si>
  <si>
    <t>=g+k</t>
  </si>
  <si>
    <t>=a+f</t>
  </si>
  <si>
    <t>budżet JST</t>
  </si>
  <si>
    <t>Priorytet II</t>
  </si>
  <si>
    <t>Priorytet III</t>
  </si>
  <si>
    <t>Priorytet IV</t>
  </si>
  <si>
    <t>Priorytet V</t>
  </si>
  <si>
    <t>Priorytet VI</t>
  </si>
  <si>
    <t>Priorytet VII</t>
  </si>
  <si>
    <t>Priorytet VIII</t>
  </si>
  <si>
    <t>Priorytet IX</t>
  </si>
  <si>
    <t>Priorytet X</t>
  </si>
  <si>
    <t>Priorytet kod</t>
  </si>
  <si>
    <t>Cel polityki (numer)</t>
  </si>
  <si>
    <t>Działanie (numer)</t>
  </si>
  <si>
    <t>Cel szczegółowy (nr)</t>
  </si>
  <si>
    <t>Zakres interwencji (kod)</t>
  </si>
  <si>
    <t>Orientacyjna alokacja UE (EUR)</t>
  </si>
  <si>
    <t>CP 1</t>
  </si>
  <si>
    <t>010</t>
  </si>
  <si>
    <t>029</t>
  </si>
  <si>
    <t>CP 2</t>
  </si>
  <si>
    <t>046</t>
  </si>
  <si>
    <t>073</t>
  </si>
  <si>
    <t>075</t>
  </si>
  <si>
    <t>=h+i+j</t>
  </si>
  <si>
    <t>021</t>
  </si>
  <si>
    <t>020</t>
  </si>
  <si>
    <t>040</t>
  </si>
  <si>
    <t>041</t>
  </si>
  <si>
    <t>042</t>
  </si>
  <si>
    <t>043</t>
  </si>
  <si>
    <t>044</t>
  </si>
  <si>
    <t>045</t>
  </si>
  <si>
    <t>048</t>
  </si>
  <si>
    <t>049</t>
  </si>
  <si>
    <t>052</t>
  </si>
  <si>
    <t>dzialanie nr 1.9</t>
  </si>
  <si>
    <t>dzialanie nr 1.10</t>
  </si>
  <si>
    <t>dzialanie nr 2.12</t>
  </si>
  <si>
    <t>dzialanie nr 2.13</t>
  </si>
  <si>
    <t>dzialanie nr 2.14</t>
  </si>
  <si>
    <t>dzialanie nr 6.15</t>
  </si>
  <si>
    <t>dzialanie nr 6.16</t>
  </si>
  <si>
    <t>Budżet państwa z Kontraktu programowego</t>
  </si>
  <si>
    <t>Państwa plik powinien składać się z 6 arkuszy:</t>
  </si>
  <si>
    <t>Przedstawione w kolejnych arkuszach tabele są przykładowe.</t>
  </si>
  <si>
    <t>Podstawą do przygotowania pliku są tabele finansowe stanowiące integralną część SZOP:</t>
  </si>
  <si>
    <t>1. alokacja programu w podziale na działania, wsparcie UE i wkład krajowy - z SZOP przekazanego do opinii IK</t>
  </si>
  <si>
    <t>2. alokacja programu w podziale na działania, wsparcie UE i wkład krajowy - z SZOP obowiązującego</t>
  </si>
  <si>
    <t>4. alokacja programu w podziale na działania i zakres interwencji - z SZOP przekazanego do opinii IK</t>
  </si>
  <si>
    <t>5. alokacja programu w podziale na działania i zakres interwencji - z SZOP obowiązującego</t>
  </si>
  <si>
    <t>Alokacja programów w podziale na działania, wsparcie UE i wkład krajowy (załącznik 2 do wytycznych SZOP*)</t>
  </si>
  <si>
    <t>Alokacja programów w podziale na działania i zakres interwencji (załącznik 3 do wytycznych SZOP*)</t>
  </si>
  <si>
    <t>* Wytyczne dotyczące szczegółowego opisu priorytetów (SZOP) krajowych i regionalnych programów na lata 2021-2027</t>
  </si>
  <si>
    <t>3. różnice między arkuszem 1 i 2</t>
  </si>
  <si>
    <t>6. różnice między arkuszem 4 i 5</t>
  </si>
  <si>
    <t>Zachęcamy do korzystania z własnych wzorów tych tabel - z zastrzeżeniem, że arkusze 1-3 mają na końcu dodatkową kolumnę dotyczącą środków budżetu państwa z Kontraktu programowego. Prosimy o jej dodanie i wypełnianie.</t>
  </si>
  <si>
    <t>Prosimy o podawanie numerów wersji SZOP (np. w pierwszym wierszu nad tabelą lub w nazwie zakładki).</t>
  </si>
  <si>
    <t>Priorytet 1</t>
  </si>
  <si>
    <t>Działanie 1.1</t>
  </si>
  <si>
    <t>CS 1.1</t>
  </si>
  <si>
    <t>w okresie przejsciowym</t>
  </si>
  <si>
    <t>Działanie 1.2</t>
  </si>
  <si>
    <t>Działanie 1.3</t>
  </si>
  <si>
    <t>CS 1.2</t>
  </si>
  <si>
    <t>Działanie 1.4</t>
  </si>
  <si>
    <t>CS 1.3</t>
  </si>
  <si>
    <t xml:space="preserve">Działanie 1.5 </t>
  </si>
  <si>
    <t>CS  1.3</t>
  </si>
  <si>
    <t>Priorytet 2</t>
  </si>
  <si>
    <t>Działanie 2.1</t>
  </si>
  <si>
    <t>CS 2.1</t>
  </si>
  <si>
    <t>Działanie 2.2</t>
  </si>
  <si>
    <t>Działanie 2.3</t>
  </si>
  <si>
    <t>Działanie 2.4</t>
  </si>
  <si>
    <t>CS 2.2</t>
  </si>
  <si>
    <t>Działanie 2.5</t>
  </si>
  <si>
    <t xml:space="preserve">Działanie 2.6 </t>
  </si>
  <si>
    <t>CS 2.5</t>
  </si>
  <si>
    <t xml:space="preserve">Działanie 2.7 </t>
  </si>
  <si>
    <t>CS 2.7</t>
  </si>
  <si>
    <t>Działanie 2.8</t>
  </si>
  <si>
    <t xml:space="preserve">Działanie 2.9 </t>
  </si>
  <si>
    <t xml:space="preserve">Działanie 2.10 </t>
  </si>
  <si>
    <t>Priorytet 3</t>
  </si>
  <si>
    <t xml:space="preserve">Działanie 3.1 </t>
  </si>
  <si>
    <t>CS 2.8</t>
  </si>
  <si>
    <t xml:space="preserve">Działanie 3.2 </t>
  </si>
  <si>
    <t>Priorytet 4</t>
  </si>
  <si>
    <t>Działanie 4.1</t>
  </si>
  <si>
    <t>CS 3.2</t>
  </si>
  <si>
    <t>Priorytet 5</t>
  </si>
  <si>
    <t xml:space="preserve">Działanie 5.1 </t>
  </si>
  <si>
    <t>CS 4.5</t>
  </si>
  <si>
    <t xml:space="preserve">Działanie 5.2 </t>
  </si>
  <si>
    <t>CS 4.6</t>
  </si>
  <si>
    <t>Priorytet 6</t>
  </si>
  <si>
    <t xml:space="preserve">Działanie 6.1 </t>
  </si>
  <si>
    <t xml:space="preserve">CS 5.1 </t>
  </si>
  <si>
    <t xml:space="preserve">Działanie 6.2 </t>
  </si>
  <si>
    <t>Priorytet 7</t>
  </si>
  <si>
    <t xml:space="preserve">Działanie 7.1 </t>
  </si>
  <si>
    <t>CS 4.1</t>
  </si>
  <si>
    <t>Działanie 7.2</t>
  </si>
  <si>
    <t>CS 4.2</t>
  </si>
  <si>
    <t>Działanie 7.3</t>
  </si>
  <si>
    <t>CS 4.3</t>
  </si>
  <si>
    <t>Działanie 7.4</t>
  </si>
  <si>
    <t>CS 4.4</t>
  </si>
  <si>
    <t>Działanie 7.5</t>
  </si>
  <si>
    <t>CS 4.8</t>
  </si>
  <si>
    <t>Działanie 7.6</t>
  </si>
  <si>
    <t>CS 4.9</t>
  </si>
  <si>
    <t>Działanie 7.7</t>
  </si>
  <si>
    <t>CS 4.11</t>
  </si>
  <si>
    <t>Działanie 7.8</t>
  </si>
  <si>
    <t>CS 4.12</t>
  </si>
  <si>
    <t>Działanie 7.9</t>
  </si>
  <si>
    <t>Działanie 7.10</t>
  </si>
  <si>
    <t>Priorytet 8</t>
  </si>
  <si>
    <t>Działanie 8.1</t>
  </si>
  <si>
    <t xml:space="preserve">Działanie 8.2 </t>
  </si>
  <si>
    <t>CS 4.7</t>
  </si>
  <si>
    <t xml:space="preserve">Działanie 8.3 </t>
  </si>
  <si>
    <t>Priorytet 9</t>
  </si>
  <si>
    <t>Działanie 9.1</t>
  </si>
  <si>
    <t>CS 8.1</t>
  </si>
  <si>
    <t>Działanie 9.2</t>
  </si>
  <si>
    <t>Działanie 9.3</t>
  </si>
  <si>
    <t>Działanie 9.4</t>
  </si>
  <si>
    <t>Działanie 9.5</t>
  </si>
  <si>
    <t>Działanie 9.6</t>
  </si>
  <si>
    <t>Priorytet 10 Pomoc Techniczna EFRR</t>
  </si>
  <si>
    <t>Działanie 10.1</t>
  </si>
  <si>
    <t>Priorytet 11 Pomoc Techniczna EFS+</t>
  </si>
  <si>
    <t>Działanie 11.1</t>
  </si>
  <si>
    <t>Priorytet 12 Pomoc Techniczna FST</t>
  </si>
  <si>
    <t>Działanie 12.1</t>
  </si>
  <si>
    <t>FEDS.12.01</t>
  </si>
  <si>
    <t>FEDS.12</t>
  </si>
  <si>
    <t>182</t>
  </si>
  <si>
    <t>181</t>
  </si>
  <si>
    <t>180</t>
  </si>
  <si>
    <t>179</t>
  </si>
  <si>
    <t>FEDS.11.01</t>
  </si>
  <si>
    <t>FEDS.11</t>
  </si>
  <si>
    <t>FEDS.10.01</t>
  </si>
  <si>
    <t>FEDS.10</t>
  </si>
  <si>
    <t>083</t>
  </si>
  <si>
    <t>082</t>
  </si>
  <si>
    <t>081</t>
  </si>
  <si>
    <t>FEDS.09.06</t>
  </si>
  <si>
    <t>FEDS.09.05</t>
  </si>
  <si>
    <t>137</t>
  </si>
  <si>
    <t>054</t>
  </si>
  <si>
    <t>FEDS.09.04</t>
  </si>
  <si>
    <t>FEDS.09.03</t>
  </si>
  <si>
    <t>FEDS.09.02</t>
  </si>
  <si>
    <t>8(i)</t>
  </si>
  <si>
    <t>FEDS.09.01</t>
  </si>
  <si>
    <t>CP 8</t>
  </si>
  <si>
    <t>FEDS.09</t>
  </si>
  <si>
    <t>FEDS.08.03</t>
  </si>
  <si>
    <t>FEDS.08.02</t>
  </si>
  <si>
    <t>FEDS.08.01</t>
  </si>
  <si>
    <t>CP 7</t>
  </si>
  <si>
    <t>FEDS.08</t>
  </si>
  <si>
    <t>FEDS.07.10</t>
  </si>
  <si>
    <t>FEDS.07.09</t>
  </si>
  <si>
    <t>FEDS.07.08</t>
  </si>
  <si>
    <t>FEDS.07.07</t>
  </si>
  <si>
    <t>FEDS.07.06</t>
  </si>
  <si>
    <t>FEDS.07.05</t>
  </si>
  <si>
    <t>FEDS.07.04</t>
  </si>
  <si>
    <t>4(c)</t>
  </si>
  <si>
    <t>FEDS.07.03</t>
  </si>
  <si>
    <t>4(b)</t>
  </si>
  <si>
    <t>FEDS.07.02</t>
  </si>
  <si>
    <t>FEDS.07.01</t>
  </si>
  <si>
    <t>CP 6</t>
  </si>
  <si>
    <t>FEDS.07</t>
  </si>
  <si>
    <t>FEDS.06.02</t>
  </si>
  <si>
    <t>168</t>
  </si>
  <si>
    <t>166</t>
  </si>
  <si>
    <t>165</t>
  </si>
  <si>
    <t>FEDS.06.01</t>
  </si>
  <si>
    <t>CP 5</t>
  </si>
  <si>
    <t>FEDS.06</t>
  </si>
  <si>
    <t>FEDS.05.02</t>
  </si>
  <si>
    <t>129</t>
  </si>
  <si>
    <t>128</t>
  </si>
  <si>
    <t>FEDS.05.01</t>
  </si>
  <si>
    <t>CP 4</t>
  </si>
  <si>
    <t>FEDS.05</t>
  </si>
  <si>
    <t>107</t>
  </si>
  <si>
    <t>FEDS.04.01</t>
  </si>
  <si>
    <t>CP 3</t>
  </si>
  <si>
    <t>FEDS.04</t>
  </si>
  <si>
    <t>FEDS.02.10</t>
  </si>
  <si>
    <t>FEDS.02.09</t>
  </si>
  <si>
    <t>FEDS.02.08</t>
  </si>
  <si>
    <t>FEDS.02.07</t>
  </si>
  <si>
    <t>FEDS.02.06</t>
  </si>
  <si>
    <t>FEDS.02.05</t>
  </si>
  <si>
    <t>FEDS.02.04</t>
  </si>
  <si>
    <t>FEDS.02.03</t>
  </si>
  <si>
    <t>FEDS.02.02</t>
  </si>
  <si>
    <t>FEDS.02.01</t>
  </si>
  <si>
    <t>FEDS.02</t>
  </si>
  <si>
    <t>FEDS.01.05</t>
  </si>
  <si>
    <t>FEDS.01.04</t>
  </si>
  <si>
    <t>FEDS.01.03</t>
  </si>
  <si>
    <t>FEDS.01.02</t>
  </si>
  <si>
    <t>FEDS.01.01</t>
  </si>
  <si>
    <t>FEDS.01</t>
  </si>
  <si>
    <t>FEDS.09.07</t>
  </si>
  <si>
    <t>Działanie 9.7</t>
  </si>
  <si>
    <t>CS 2.10</t>
  </si>
  <si>
    <t>FEDS.13</t>
  </si>
  <si>
    <t>CP2</t>
  </si>
  <si>
    <t>FEDS.13.01</t>
  </si>
  <si>
    <t>2(x)</t>
  </si>
  <si>
    <t>Priorytet 13 POWÓDŹ</t>
  </si>
  <si>
    <t>Działanie 13.1</t>
  </si>
  <si>
    <t>Działanie 2.11</t>
  </si>
  <si>
    <t>CS 2.4</t>
  </si>
  <si>
    <t>Priorytet 14 STEP</t>
  </si>
  <si>
    <t>Działanie 14.1</t>
  </si>
  <si>
    <t>CS 1.6</t>
  </si>
  <si>
    <t>62</t>
  </si>
  <si>
    <t>FEDS.02.11</t>
  </si>
  <si>
    <t>59</t>
  </si>
  <si>
    <t>60</t>
  </si>
  <si>
    <t>FEDS.14</t>
  </si>
  <si>
    <t>CP1</t>
  </si>
  <si>
    <t>FEDS.14.01</t>
  </si>
  <si>
    <t>1(vi)</t>
  </si>
  <si>
    <t>193</t>
  </si>
  <si>
    <t>170</t>
  </si>
  <si>
    <t>148</t>
  </si>
  <si>
    <t>FEDS.03</t>
  </si>
  <si>
    <t>FEDS.03.01</t>
  </si>
  <si>
    <t>FEDS.03.02</t>
  </si>
  <si>
    <t>Załącznik nr 1. Alokacja programu w podziale na działania, wsparcie UE i wkład krajowy (w EUR) - SZOP FEDS v.029</t>
  </si>
  <si>
    <t>Załącznik nr 2. Alokacja programu w podziale na działania i zakres interwencji - SZOP FEDS v.29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</si>
</sst>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0000%"/>
    <numFmt numFmtId="165" formatCode="#,##0.0000000"/>
    <numFmt numFmtId="166" formatCode="_-* #,##0\ _z_ł_-;\-* #,##0\ _z_ł_-;_-* &quot;-&quot;??\ _z_ł_-;_-@_-"/>
  </numFmts>
  <fonts count="5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Tahoma"/>
      <family val="2"/>
      <charset val="238"/>
    </font>
    <font>
      <sz val="8"/>
      <name val="Arial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9"/>
      <name val="Tahoma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theme="1"/>
      <name val="Arial Narrow"/>
      <family val="2"/>
      <charset val="238"/>
    </font>
    <font>
      <b/>
      <sz val="8"/>
      <color rgb="FFFF0000"/>
      <name val="Arial"/>
      <family val="2"/>
      <charset val="238"/>
    </font>
    <font>
      <sz val="10"/>
      <color rgb="FFFF0000"/>
      <name val="Arial Narrow"/>
      <family val="2"/>
      <charset val="238"/>
    </font>
    <font>
      <sz val="6"/>
      <color rgb="FFFF0000"/>
      <name val="Arial"/>
      <family val="2"/>
      <charset val="238"/>
    </font>
    <font>
      <sz val="9"/>
      <color theme="1"/>
      <name val="Tahoma"/>
      <family val="2"/>
      <charset val="238"/>
    </font>
    <font>
      <sz val="11"/>
      <name val="Czcionka tekstu podstawowego"/>
      <family val="2"/>
      <charset val="238"/>
    </font>
    <font>
      <b/>
      <sz val="11"/>
      <name val="Czcionka tekstu podstawowego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Arial Narrow"/>
      <family val="2"/>
      <charset val="238"/>
    </font>
    <font>
      <sz val="10"/>
      <name val="Aptos Narrow"/>
      <family val="2"/>
    </font>
    <font>
      <b/>
      <sz val="10"/>
      <name val="Aptos Narrow"/>
      <family val="2"/>
    </font>
    <font>
      <sz val="10"/>
      <name val="Arial"/>
      <family val="2"/>
      <charset val="238"/>
    </font>
    <font>
      <sz val="10"/>
      <name val="Aptos Narrow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1">
    <xf numFmtId="0" fontId="0" fillId="0" borderId="0"/>
    <xf numFmtId="0" fontId="8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4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21" borderId="4" applyNumberFormat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9" fillId="20" borderId="1" applyNumberFormat="0" applyAlignment="0" applyProtection="0"/>
    <xf numFmtId="0" fontId="25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23" borderId="9" applyNumberFormat="0" applyFont="0" applyAlignment="0" applyProtection="0"/>
    <xf numFmtId="0" fontId="15" fillId="3" borderId="0" applyNumberFormat="0" applyBorder="0" applyAlignment="0" applyProtection="0"/>
    <xf numFmtId="0" fontId="7" fillId="0" borderId="0"/>
    <xf numFmtId="0" fontId="6" fillId="0" borderId="0"/>
    <xf numFmtId="43" fontId="46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0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29" fillId="0" borderId="0" xfId="0" applyFont="1"/>
    <xf numFmtId="4" fontId="9" fillId="0" borderId="10" xfId="1" applyNumberFormat="1" applyFont="1" applyBorder="1" applyAlignment="1">
      <alignment horizontal="center" vertical="center" wrapText="1"/>
    </xf>
    <xf numFmtId="4" fontId="9" fillId="0" borderId="10" xfId="0" applyNumberFormat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textRotation="90" wrapText="1"/>
    </xf>
    <xf numFmtId="0" fontId="9" fillId="0" borderId="10" xfId="1" quotePrefix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4" fontId="9" fillId="0" borderId="10" xfId="1" quotePrefix="1" applyNumberFormat="1" applyFont="1" applyBorder="1" applyAlignment="1">
      <alignment horizontal="center" vertical="center" wrapText="1"/>
    </xf>
    <xf numFmtId="0" fontId="9" fillId="24" borderId="10" xfId="1" quotePrefix="1" applyFont="1" applyFill="1" applyBorder="1" applyAlignment="1">
      <alignment horizontal="center" vertical="center" wrapText="1"/>
    </xf>
    <xf numFmtId="0" fontId="9" fillId="24" borderId="10" xfId="1" applyFont="1" applyFill="1" applyBorder="1" applyAlignment="1">
      <alignment horizontal="center" vertical="center" wrapText="1"/>
    </xf>
    <xf numFmtId="0" fontId="9" fillId="0" borderId="10" xfId="1" applyFont="1" applyBorder="1" applyAlignment="1">
      <alignment horizontal="left" vertical="top" wrapText="1"/>
    </xf>
    <xf numFmtId="0" fontId="9" fillId="0" borderId="10" xfId="1" applyFont="1" applyBorder="1" applyAlignment="1">
      <alignment horizontal="center" vertical="top" wrapText="1"/>
    </xf>
    <xf numFmtId="0" fontId="9" fillId="0" borderId="10" xfId="1" quotePrefix="1" applyFont="1" applyBorder="1" applyAlignment="1">
      <alignment horizontal="center" vertical="top" wrapText="1"/>
    </xf>
    <xf numFmtId="4" fontId="9" fillId="26" borderId="10" xfId="1" applyNumberFormat="1" applyFont="1" applyFill="1" applyBorder="1" applyAlignment="1">
      <alignment horizontal="center" vertical="center" wrapText="1"/>
    </xf>
    <xf numFmtId="4" fontId="9" fillId="26" borderId="10" xfId="1" quotePrefix="1" applyNumberFormat="1" applyFont="1" applyFill="1" applyBorder="1" applyAlignment="1">
      <alignment horizontal="center" vertical="center" wrapText="1"/>
    </xf>
    <xf numFmtId="4" fontId="28" fillId="26" borderId="10" xfId="1" applyNumberFormat="1" applyFont="1" applyFill="1" applyBorder="1" applyAlignment="1">
      <alignment horizontal="center" vertical="center" wrapText="1"/>
    </xf>
    <xf numFmtId="0" fontId="0" fillId="26" borderId="0" xfId="0" applyFill="1"/>
    <xf numFmtId="4" fontId="9" fillId="26" borderId="10" xfId="1" applyNumberFormat="1" applyFont="1" applyFill="1" applyBorder="1" applyAlignment="1">
      <alignment horizontal="center" vertical="top" wrapText="1"/>
    </xf>
    <xf numFmtId="4" fontId="0" fillId="26" borderId="0" xfId="0" applyNumberFormat="1" applyFill="1"/>
    <xf numFmtId="4" fontId="9" fillId="25" borderId="10" xfId="1" applyNumberFormat="1" applyFont="1" applyFill="1" applyBorder="1" applyAlignment="1">
      <alignment horizontal="center" vertical="center" wrapText="1"/>
    </xf>
    <xf numFmtId="4" fontId="9" fillId="25" borderId="10" xfId="1" applyNumberFormat="1" applyFont="1" applyFill="1" applyBorder="1" applyAlignment="1">
      <alignment horizontal="center" vertical="center" textRotation="90" wrapText="1"/>
    </xf>
    <xf numFmtId="0" fontId="9" fillId="25" borderId="10" xfId="1" applyFont="1" applyFill="1" applyBorder="1" applyAlignment="1">
      <alignment horizontal="center" vertical="center" textRotation="90" wrapText="1"/>
    </xf>
    <xf numFmtId="0" fontId="9" fillId="25" borderId="10" xfId="1" applyFont="1" applyFill="1" applyBorder="1" applyAlignment="1">
      <alignment horizontal="center" vertical="top" wrapText="1"/>
    </xf>
    <xf numFmtId="0" fontId="9" fillId="25" borderId="10" xfId="1" applyFont="1" applyFill="1" applyBorder="1" applyAlignment="1">
      <alignment horizontal="center" vertical="center" wrapText="1"/>
    </xf>
    <xf numFmtId="0" fontId="0" fillId="25" borderId="0" xfId="0" applyFill="1"/>
    <xf numFmtId="10" fontId="9" fillId="0" borderId="10" xfId="1" applyNumberFormat="1" applyFont="1" applyBorder="1" applyAlignment="1">
      <alignment horizontal="center" vertical="top" wrapText="1"/>
    </xf>
    <xf numFmtId="10" fontId="9" fillId="0" borderId="10" xfId="1" quotePrefix="1" applyNumberFormat="1" applyFont="1" applyBorder="1" applyAlignment="1">
      <alignment horizontal="center" vertical="top" wrapText="1"/>
    </xf>
    <xf numFmtId="10" fontId="9" fillId="0" borderId="10" xfId="1" quotePrefix="1" applyNumberFormat="1" applyFont="1" applyBorder="1" applyAlignment="1">
      <alignment horizontal="center" vertical="center" wrapText="1"/>
    </xf>
    <xf numFmtId="10" fontId="9" fillId="24" borderId="10" xfId="1" quotePrefix="1" applyNumberFormat="1" applyFont="1" applyFill="1" applyBorder="1" applyAlignment="1">
      <alignment horizontal="center" vertical="center" wrapText="1"/>
    </xf>
    <xf numFmtId="10" fontId="0" fillId="0" borderId="0" xfId="0" applyNumberFormat="1"/>
    <xf numFmtId="4" fontId="9" fillId="26" borderId="10" xfId="1" applyNumberFormat="1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4" fontId="28" fillId="0" borderId="10" xfId="1" quotePrefix="1" applyNumberFormat="1" applyFont="1" applyBorder="1" applyAlignment="1">
      <alignment horizontal="center" vertical="center" wrapText="1"/>
    </xf>
    <xf numFmtId="4" fontId="28" fillId="0" borderId="10" xfId="1" applyNumberFormat="1" applyFont="1" applyBorder="1" applyAlignment="1">
      <alignment horizontal="center" vertical="center" wrapText="1"/>
    </xf>
    <xf numFmtId="0" fontId="28" fillId="0" borderId="10" xfId="1" applyFont="1" applyBorder="1" applyAlignment="1">
      <alignment horizontal="center" vertical="center" wrapText="1"/>
    </xf>
    <xf numFmtId="0" fontId="28" fillId="0" borderId="10" xfId="1" applyFont="1" applyBorder="1" applyAlignment="1">
      <alignment horizontal="left" vertical="top" wrapText="1"/>
    </xf>
    <xf numFmtId="4" fontId="28" fillId="0" borderId="10" xfId="0" applyNumberFormat="1" applyFont="1" applyBorder="1" applyAlignment="1">
      <alignment horizontal="center" vertical="center" wrapText="1"/>
    </xf>
    <xf numFmtId="10" fontId="28" fillId="0" borderId="10" xfId="1" quotePrefix="1" applyNumberFormat="1" applyFont="1" applyBorder="1" applyAlignment="1">
      <alignment horizontal="center" vertical="center" wrapText="1"/>
    </xf>
    <xf numFmtId="0" fontId="30" fillId="0" borderId="0" xfId="0" applyFont="1"/>
    <xf numFmtId="10" fontId="9" fillId="0" borderId="10" xfId="1" applyNumberFormat="1" applyFont="1" applyBorder="1" applyAlignment="1">
      <alignment horizontal="center" vertical="center" wrapText="1"/>
    </xf>
    <xf numFmtId="10" fontId="28" fillId="0" borderId="10" xfId="1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4" fontId="31" fillId="0" borderId="0" xfId="0" applyNumberFormat="1" applyFont="1" applyAlignment="1">
      <alignment horizontal="center"/>
    </xf>
    <xf numFmtId="4" fontId="28" fillId="26" borderId="10" xfId="1" quotePrefix="1" applyNumberFormat="1" applyFont="1" applyFill="1" applyBorder="1" applyAlignment="1">
      <alignment horizontal="center" vertical="center" wrapText="1"/>
    </xf>
    <xf numFmtId="4" fontId="33" fillId="0" borderId="0" xfId="0" applyNumberFormat="1" applyFont="1"/>
    <xf numFmtId="2" fontId="28" fillId="0" borderId="10" xfId="1" quotePrefix="1" applyNumberFormat="1" applyFont="1" applyBorder="1" applyAlignment="1">
      <alignment horizontal="center" vertical="center" wrapText="1"/>
    </xf>
    <xf numFmtId="2" fontId="9" fillId="0" borderId="10" xfId="1" quotePrefix="1" applyNumberFormat="1" applyFont="1" applyBorder="1" applyAlignment="1">
      <alignment horizontal="center" vertical="center" wrapText="1"/>
    </xf>
    <xf numFmtId="0" fontId="34" fillId="0" borderId="10" xfId="1" applyFont="1" applyBorder="1" applyAlignment="1">
      <alignment horizontal="center" vertical="center" wrapText="1"/>
    </xf>
    <xf numFmtId="0" fontId="31" fillId="0" borderId="0" xfId="0" applyFont="1"/>
    <xf numFmtId="4" fontId="9" fillId="0" borderId="11" xfId="0" applyNumberFormat="1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4" fontId="28" fillId="0" borderId="10" xfId="0" applyNumberFormat="1" applyFont="1" applyBorder="1" applyAlignment="1">
      <alignment horizontal="center" vertical="center"/>
    </xf>
    <xf numFmtId="10" fontId="28" fillId="0" borderId="10" xfId="0" applyNumberFormat="1" applyFont="1" applyBorder="1" applyAlignment="1">
      <alignment horizontal="center" vertical="center"/>
    </xf>
    <xf numFmtId="4" fontId="35" fillId="26" borderId="10" xfId="1" quotePrefix="1" applyNumberFormat="1" applyFont="1" applyFill="1" applyBorder="1" applyAlignment="1">
      <alignment horizontal="center" vertical="center" wrapText="1"/>
    </xf>
    <xf numFmtId="4" fontId="35" fillId="0" borderId="10" xfId="1" applyNumberFormat="1" applyFont="1" applyBorder="1" applyAlignment="1">
      <alignment horizontal="center" vertical="center" wrapText="1"/>
    </xf>
    <xf numFmtId="4" fontId="35" fillId="26" borderId="10" xfId="1" applyNumberFormat="1" applyFont="1" applyFill="1" applyBorder="1" applyAlignment="1">
      <alignment horizontal="center" vertical="center" wrapText="1"/>
    </xf>
    <xf numFmtId="4" fontId="35" fillId="0" borderId="10" xfId="1" quotePrefix="1" applyNumberFormat="1" applyFont="1" applyBorder="1" applyAlignment="1">
      <alignment horizontal="center" vertical="center" wrapText="1"/>
    </xf>
    <xf numFmtId="4" fontId="35" fillId="0" borderId="10" xfId="0" applyNumberFormat="1" applyFont="1" applyBorder="1" applyAlignment="1">
      <alignment horizontal="center" vertical="center" wrapText="1"/>
    </xf>
    <xf numFmtId="4" fontId="29" fillId="0" borderId="10" xfId="1" applyNumberFormat="1" applyFont="1" applyBorder="1" applyAlignment="1">
      <alignment horizontal="center" vertical="center" wrapText="1"/>
    </xf>
    <xf numFmtId="4" fontId="29" fillId="0" borderId="10" xfId="1" quotePrefix="1" applyNumberFormat="1" applyFont="1" applyBorder="1" applyAlignment="1">
      <alignment horizontal="center" vertical="center" wrapText="1"/>
    </xf>
    <xf numFmtId="4" fontId="29" fillId="26" borderId="10" xfId="1" quotePrefix="1" applyNumberFormat="1" applyFont="1" applyFill="1" applyBorder="1" applyAlignment="1">
      <alignment horizontal="center" vertical="center" wrapText="1"/>
    </xf>
    <xf numFmtId="4" fontId="29" fillId="26" borderId="10" xfId="1" applyNumberFormat="1" applyFont="1" applyFill="1" applyBorder="1" applyAlignment="1">
      <alignment horizontal="center" vertical="center" wrapText="1"/>
    </xf>
    <xf numFmtId="4" fontId="29" fillId="0" borderId="10" xfId="0" applyNumberFormat="1" applyFont="1" applyBorder="1" applyAlignment="1">
      <alignment horizontal="center" vertical="center" wrapText="1"/>
    </xf>
    <xf numFmtId="4" fontId="36" fillId="0" borderId="10" xfId="0" applyNumberFormat="1" applyFont="1" applyBorder="1" applyAlignment="1">
      <alignment horizontal="center" vertical="center" wrapText="1"/>
    </xf>
    <xf numFmtId="10" fontId="35" fillId="0" borderId="10" xfId="1" applyNumberFormat="1" applyFont="1" applyBorder="1" applyAlignment="1">
      <alignment horizontal="center" vertical="center" wrapText="1"/>
    </xf>
    <xf numFmtId="4" fontId="37" fillId="26" borderId="10" xfId="1" quotePrefix="1" applyNumberFormat="1" applyFont="1" applyFill="1" applyBorder="1" applyAlignment="1">
      <alignment horizontal="center" vertical="center" wrapText="1"/>
    </xf>
    <xf numFmtId="4" fontId="37" fillId="0" borderId="10" xfId="1" applyNumberFormat="1" applyFont="1" applyBorder="1" applyAlignment="1">
      <alignment horizontal="center" vertical="center" wrapText="1"/>
    </xf>
    <xf numFmtId="4" fontId="37" fillId="26" borderId="10" xfId="1" applyNumberFormat="1" applyFont="1" applyFill="1" applyBorder="1" applyAlignment="1">
      <alignment horizontal="center" vertical="center" wrapText="1"/>
    </xf>
    <xf numFmtId="4" fontId="37" fillId="0" borderId="10" xfId="1" quotePrefix="1" applyNumberFormat="1" applyFont="1" applyBorder="1" applyAlignment="1">
      <alignment horizontal="center" vertical="center" wrapText="1"/>
    </xf>
    <xf numFmtId="4" fontId="38" fillId="0" borderId="10" xfId="0" applyNumberFormat="1" applyFont="1" applyBorder="1" applyAlignment="1">
      <alignment horizontal="center" vertical="center" wrapText="1"/>
    </xf>
    <xf numFmtId="4" fontId="35" fillId="26" borderId="10" xfId="0" applyNumberFormat="1" applyFont="1" applyFill="1" applyBorder="1" applyAlignment="1">
      <alignment horizontal="center" vertical="center" wrapText="1"/>
    </xf>
    <xf numFmtId="0" fontId="35" fillId="0" borderId="10" xfId="1" applyFont="1" applyBorder="1" applyAlignment="1">
      <alignment horizontal="left" vertical="top" wrapText="1"/>
    </xf>
    <xf numFmtId="0" fontId="35" fillId="0" borderId="10" xfId="1" applyFont="1" applyBorder="1" applyAlignment="1">
      <alignment horizontal="center" vertical="center" wrapText="1"/>
    </xf>
    <xf numFmtId="0" fontId="39" fillId="0" borderId="10" xfId="1" applyFont="1" applyBorder="1" applyAlignment="1">
      <alignment horizontal="center" vertical="center" wrapText="1"/>
    </xf>
    <xf numFmtId="4" fontId="37" fillId="26" borderId="10" xfId="0" applyNumberFormat="1" applyFont="1" applyFill="1" applyBorder="1" applyAlignment="1">
      <alignment horizontal="center" vertical="center"/>
    </xf>
    <xf numFmtId="4" fontId="37" fillId="0" borderId="10" xfId="0" applyNumberFormat="1" applyFont="1" applyBorder="1" applyAlignment="1">
      <alignment horizontal="center" vertical="center"/>
    </xf>
    <xf numFmtId="4" fontId="37" fillId="0" borderId="10" xfId="0" applyNumberFormat="1" applyFont="1" applyBorder="1" applyAlignment="1">
      <alignment horizontal="center" vertical="center" wrapText="1"/>
    </xf>
    <xf numFmtId="10" fontId="37" fillId="0" borderId="10" xfId="1" quotePrefix="1" applyNumberFormat="1" applyFont="1" applyBorder="1" applyAlignment="1">
      <alignment horizontal="center" vertical="center" wrapText="1"/>
    </xf>
    <xf numFmtId="164" fontId="30" fillId="0" borderId="0" xfId="0" applyNumberFormat="1" applyFont="1"/>
    <xf numFmtId="0" fontId="29" fillId="0" borderId="10" xfId="1" applyFont="1" applyBorder="1" applyAlignment="1">
      <alignment horizontal="left" vertical="top" wrapText="1"/>
    </xf>
    <xf numFmtId="0" fontId="29" fillId="0" borderId="10" xfId="1" applyFont="1" applyBorder="1" applyAlignment="1">
      <alignment horizontal="center" vertical="center" wrapText="1"/>
    </xf>
    <xf numFmtId="0" fontId="29" fillId="0" borderId="10" xfId="1" applyFont="1" applyBorder="1" applyAlignment="1">
      <alignment horizontal="center" vertical="center" textRotation="90" wrapText="1"/>
    </xf>
    <xf numFmtId="4" fontId="0" fillId="0" borderId="0" xfId="0" applyNumberFormat="1"/>
    <xf numFmtId="0" fontId="29" fillId="25" borderId="10" xfId="1" applyFont="1" applyFill="1" applyBorder="1" applyAlignment="1">
      <alignment horizontal="center" vertical="center" textRotation="90" wrapText="1"/>
    </xf>
    <xf numFmtId="4" fontId="29" fillId="25" borderId="10" xfId="1" applyNumberFormat="1" applyFont="1" applyFill="1" applyBorder="1" applyAlignment="1">
      <alignment horizontal="center" vertical="center" textRotation="90" wrapText="1"/>
    </xf>
    <xf numFmtId="0" fontId="29" fillId="0" borderId="10" xfId="1" applyFont="1" applyBorder="1" applyAlignment="1">
      <alignment horizontal="center" vertical="top" wrapText="1"/>
    </xf>
    <xf numFmtId="0" fontId="29" fillId="25" borderId="10" xfId="1" applyFont="1" applyFill="1" applyBorder="1" applyAlignment="1">
      <alignment horizontal="center" vertical="top" wrapText="1"/>
    </xf>
    <xf numFmtId="4" fontId="29" fillId="25" borderId="10" xfId="1" applyNumberFormat="1" applyFont="1" applyFill="1" applyBorder="1" applyAlignment="1">
      <alignment horizontal="center" vertical="center" wrapText="1"/>
    </xf>
    <xf numFmtId="0" fontId="29" fillId="0" borderId="10" xfId="1" quotePrefix="1" applyFont="1" applyBorder="1" applyAlignment="1">
      <alignment horizontal="center" vertical="top" wrapText="1"/>
    </xf>
    <xf numFmtId="0" fontId="29" fillId="0" borderId="10" xfId="1" quotePrefix="1" applyFont="1" applyBorder="1" applyAlignment="1">
      <alignment horizontal="center" vertical="center" wrapText="1"/>
    </xf>
    <xf numFmtId="0" fontId="29" fillId="25" borderId="10" xfId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4" fontId="41" fillId="0" borderId="0" xfId="0" applyNumberFormat="1" applyFont="1"/>
    <xf numFmtId="0" fontId="42" fillId="0" borderId="0" xfId="0" applyFont="1"/>
    <xf numFmtId="0" fontId="41" fillId="0" borderId="0" xfId="0" applyFont="1"/>
    <xf numFmtId="165" fontId="41" fillId="0" borderId="0" xfId="0" applyNumberFormat="1" applyFont="1"/>
    <xf numFmtId="0" fontId="28" fillId="0" borderId="0" xfId="0" applyFont="1" applyAlignment="1">
      <alignment horizontal="center" vertical="center"/>
    </xf>
    <xf numFmtId="4" fontId="29" fillId="0" borderId="10" xfId="1" applyNumberFormat="1" applyFont="1" applyBorder="1" applyAlignment="1">
      <alignment horizontal="center" vertical="center" textRotation="90" wrapText="1"/>
    </xf>
    <xf numFmtId="4" fontId="29" fillId="0" borderId="10" xfId="1" applyNumberFormat="1" applyFont="1" applyBorder="1" applyAlignment="1">
      <alignment horizontal="center" vertical="top" wrapText="1"/>
    </xf>
    <xf numFmtId="2" fontId="35" fillId="0" borderId="10" xfId="1" quotePrefix="1" applyNumberFormat="1" applyFont="1" applyBorder="1" applyAlignment="1">
      <alignment horizontal="center" vertical="center" wrapText="1"/>
    </xf>
    <xf numFmtId="0" fontId="44" fillId="25" borderId="0" xfId="0" applyFont="1" applyFill="1"/>
    <xf numFmtId="0" fontId="43" fillId="25" borderId="0" xfId="0" applyFont="1" applyFill="1"/>
    <xf numFmtId="0" fontId="45" fillId="25" borderId="0" xfId="0" applyFont="1" applyFill="1"/>
    <xf numFmtId="0" fontId="41" fillId="0" borderId="0" xfId="0" applyFont="1" applyAlignment="1">
      <alignment horizontal="left"/>
    </xf>
    <xf numFmtId="0" fontId="41" fillId="0" borderId="0" xfId="0" applyFont="1" applyAlignment="1">
      <alignment horizontal="center" vertical="center"/>
    </xf>
    <xf numFmtId="4" fontId="28" fillId="27" borderId="10" xfId="1" applyNumberFormat="1" applyFont="1" applyFill="1" applyBorder="1" applyAlignment="1">
      <alignment horizontal="center" vertical="center" wrapText="1"/>
    </xf>
    <xf numFmtId="4" fontId="28" fillId="27" borderId="10" xfId="0" applyNumberFormat="1" applyFont="1" applyFill="1" applyBorder="1" applyAlignment="1">
      <alignment horizontal="center" vertical="center" wrapText="1"/>
    </xf>
    <xf numFmtId="0" fontId="28" fillId="27" borderId="10" xfId="0" applyFont="1" applyFill="1" applyBorder="1" applyAlignment="1">
      <alignment horizontal="center" vertical="center"/>
    </xf>
    <xf numFmtId="0" fontId="34" fillId="27" borderId="10" xfId="1" applyFont="1" applyFill="1" applyBorder="1" applyAlignment="1">
      <alignment horizontal="center" vertical="center" wrapText="1"/>
    </xf>
    <xf numFmtId="4" fontId="9" fillId="27" borderId="10" xfId="1" quotePrefix="1" applyNumberFormat="1" applyFont="1" applyFill="1" applyBorder="1" applyAlignment="1">
      <alignment horizontal="center" vertical="center" wrapText="1"/>
    </xf>
    <xf numFmtId="0" fontId="48" fillId="25" borderId="12" xfId="0" applyFont="1" applyFill="1" applyBorder="1" applyAlignment="1">
      <alignment horizontal="center" vertical="center" wrapText="1"/>
    </xf>
    <xf numFmtId="4" fontId="28" fillId="27" borderId="10" xfId="1" quotePrefix="1" applyNumberFormat="1" applyFont="1" applyFill="1" applyBorder="1" applyAlignment="1">
      <alignment horizontal="center" vertical="center" wrapText="1"/>
    </xf>
    <xf numFmtId="4" fontId="9" fillId="25" borderId="10" xfId="1" quotePrefix="1" applyNumberFormat="1" applyFont="1" applyFill="1" applyBorder="1" applyAlignment="1">
      <alignment horizontal="center" vertical="center" wrapText="1"/>
    </xf>
    <xf numFmtId="0" fontId="48" fillId="25" borderId="10" xfId="0" applyFont="1" applyFill="1" applyBorder="1" applyAlignment="1">
      <alignment horizontal="left" vertical="center" wrapText="1"/>
    </xf>
    <xf numFmtId="0" fontId="9" fillId="0" borderId="0" xfId="0" applyFont="1"/>
    <xf numFmtId="4" fontId="41" fillId="25" borderId="0" xfId="0" applyNumberFormat="1" applyFont="1" applyFill="1" applyAlignment="1">
      <alignment horizontal="center"/>
    </xf>
    <xf numFmtId="4" fontId="9" fillId="0" borderId="10" xfId="1" applyNumberFormat="1" applyFont="1" applyBorder="1" applyAlignment="1">
      <alignment horizontal="center" vertical="center" textRotation="90" wrapText="1"/>
    </xf>
    <xf numFmtId="4" fontId="9" fillId="0" borderId="10" xfId="1" applyNumberFormat="1" applyFont="1" applyBorder="1" applyAlignment="1">
      <alignment horizontal="center" vertical="top" wrapText="1"/>
    </xf>
    <xf numFmtId="4" fontId="41" fillId="26" borderId="0" xfId="0" applyNumberFormat="1" applyFont="1" applyFill="1"/>
    <xf numFmtId="0" fontId="41" fillId="26" borderId="0" xfId="0" applyFont="1" applyFill="1"/>
    <xf numFmtId="4" fontId="28" fillId="25" borderId="10" xfId="0" applyNumberFormat="1" applyFont="1" applyFill="1" applyBorder="1" applyAlignment="1">
      <alignment horizontal="center" vertical="center" wrapText="1"/>
    </xf>
    <xf numFmtId="166" fontId="52" fillId="25" borderId="10" xfId="45" applyNumberFormat="1" applyFont="1" applyFill="1" applyBorder="1" applyAlignment="1">
      <alignment horizontal="right" vertical="center" wrapText="1"/>
    </xf>
    <xf numFmtId="49" fontId="49" fillId="0" borderId="10" xfId="0" applyNumberFormat="1" applyFont="1" applyBorder="1" applyAlignment="1">
      <alignment horizontal="center" vertical="center" wrapText="1"/>
    </xf>
    <xf numFmtId="0" fontId="49" fillId="0" borderId="10" xfId="50" applyFont="1" applyBorder="1" applyAlignment="1">
      <alignment horizontal="center" vertical="center" wrapText="1"/>
    </xf>
    <xf numFmtId="49" fontId="49" fillId="0" borderId="10" xfId="50" applyNumberFormat="1" applyFont="1" applyBorder="1" applyAlignment="1">
      <alignment horizontal="center" vertical="center" wrapText="1"/>
    </xf>
    <xf numFmtId="4" fontId="49" fillId="0" borderId="10" xfId="50" applyNumberFormat="1" applyFont="1" applyBorder="1" applyAlignment="1">
      <alignment horizontal="center" vertical="center" wrapText="1"/>
    </xf>
    <xf numFmtId="0" fontId="50" fillId="0" borderId="10" xfId="50" applyFont="1" applyBorder="1" applyAlignment="1">
      <alignment horizontal="center" vertical="center" wrapText="1"/>
    </xf>
    <xf numFmtId="4" fontId="52" fillId="25" borderId="10" xfId="50" applyNumberFormat="1" applyFont="1" applyFill="1" applyBorder="1" applyAlignment="1">
      <alignment horizontal="right" vertical="center" wrapText="1"/>
    </xf>
    <xf numFmtId="0" fontId="50" fillId="0" borderId="11" xfId="50" applyFont="1" applyBorder="1" applyAlignment="1">
      <alignment horizontal="center" vertical="center" wrapText="1"/>
    </xf>
    <xf numFmtId="0" fontId="49" fillId="0" borderId="11" xfId="50" applyFont="1" applyBorder="1" applyAlignment="1">
      <alignment horizontal="center" vertical="center" wrapText="1"/>
    </xf>
    <xf numFmtId="0" fontId="49" fillId="0" borderId="13" xfId="50" applyFont="1" applyBorder="1" applyAlignment="1">
      <alignment horizontal="center" vertical="center" wrapText="1"/>
    </xf>
    <xf numFmtId="49" fontId="49" fillId="25" borderId="10" xfId="50" applyNumberFormat="1" applyFont="1" applyFill="1" applyBorder="1" applyAlignment="1">
      <alignment horizontal="center" vertical="center" wrapText="1"/>
    </xf>
    <xf numFmtId="0" fontId="50" fillId="0" borderId="13" xfId="50" applyFont="1" applyBorder="1" applyAlignment="1">
      <alignment horizontal="center" vertical="center" wrapText="1"/>
    </xf>
    <xf numFmtId="49" fontId="49" fillId="0" borderId="11" xfId="50" applyNumberFormat="1" applyFont="1" applyBorder="1" applyAlignment="1">
      <alignment horizontal="center" vertical="center" wrapText="1"/>
    </xf>
    <xf numFmtId="4" fontId="52" fillId="25" borderId="11" xfId="50" applyNumberFormat="1" applyFont="1" applyFill="1" applyBorder="1" applyAlignment="1">
      <alignment horizontal="right" vertical="center" wrapText="1"/>
    </xf>
    <xf numFmtId="0" fontId="50" fillId="0" borderId="11" xfId="50" applyFont="1" applyBorder="1" applyAlignment="1">
      <alignment horizontal="center" vertical="center"/>
    </xf>
    <xf numFmtId="0" fontId="50" fillId="0" borderId="10" xfId="50" applyFont="1" applyBorder="1" applyAlignment="1">
      <alignment horizontal="center" vertical="center"/>
    </xf>
    <xf numFmtId="0" fontId="49" fillId="0" borderId="10" xfId="50" applyFont="1" applyBorder="1" applyAlignment="1">
      <alignment horizontal="center" vertical="center"/>
    </xf>
    <xf numFmtId="0" fontId="49" fillId="25" borderId="10" xfId="50" applyFont="1" applyFill="1" applyBorder="1" applyAlignment="1">
      <alignment horizontal="center" vertical="center"/>
    </xf>
    <xf numFmtId="0" fontId="50" fillId="0" borderId="10" xfId="50" applyFont="1" applyBorder="1" applyAlignment="1">
      <alignment horizontal="center"/>
    </xf>
    <xf numFmtId="0" fontId="49" fillId="25" borderId="10" xfId="50" applyFont="1" applyFill="1" applyBorder="1" applyAlignment="1">
      <alignment horizontal="center"/>
    </xf>
    <xf numFmtId="0" fontId="49" fillId="25" borderId="11" xfId="50" applyFont="1" applyFill="1" applyBorder="1" applyAlignment="1">
      <alignment horizontal="center" vertical="center"/>
    </xf>
    <xf numFmtId="4" fontId="52" fillId="25" borderId="10" xfId="50" applyNumberFormat="1" applyFont="1" applyFill="1" applyBorder="1"/>
    <xf numFmtId="0" fontId="47" fillId="0" borderId="0" xfId="50" applyFont="1"/>
    <xf numFmtId="0" fontId="47" fillId="0" borderId="0" xfId="50" applyFont="1" applyAlignment="1">
      <alignment wrapText="1"/>
    </xf>
    <xf numFmtId="49" fontId="47" fillId="0" borderId="0" xfId="50" applyNumberFormat="1" applyFont="1"/>
    <xf numFmtId="4" fontId="47" fillId="0" borderId="0" xfId="50" applyNumberFormat="1" applyFont="1"/>
    <xf numFmtId="0" fontId="29" fillId="0" borderId="11" xfId="1" applyFont="1" applyBorder="1" applyAlignment="1">
      <alignment horizontal="center" vertical="top" wrapText="1"/>
    </xf>
    <xf numFmtId="0" fontId="29" fillId="0" borderId="12" xfId="1" applyFont="1" applyBorder="1" applyAlignment="1">
      <alignment horizontal="center" vertical="top" wrapText="1"/>
    </xf>
    <xf numFmtId="0" fontId="29" fillId="0" borderId="13" xfId="1" applyFont="1" applyBorder="1" applyAlignment="1">
      <alignment horizontal="center" vertical="top" wrapText="1"/>
    </xf>
    <xf numFmtId="0" fontId="29" fillId="0" borderId="10" xfId="1" applyFont="1" applyBorder="1" applyAlignment="1">
      <alignment horizontal="center" vertical="center" textRotation="90" wrapText="1"/>
    </xf>
    <xf numFmtId="0" fontId="40" fillId="0" borderId="10" xfId="1" applyFont="1" applyBorder="1" applyAlignment="1">
      <alignment horizontal="center" vertical="center" textRotation="90"/>
    </xf>
    <xf numFmtId="0" fontId="29" fillId="0" borderId="11" xfId="1" applyFont="1" applyBorder="1" applyAlignment="1">
      <alignment horizontal="center" vertical="center" textRotation="90" wrapText="1"/>
    </xf>
    <xf numFmtId="0" fontId="29" fillId="0" borderId="12" xfId="1" applyFont="1" applyBorder="1" applyAlignment="1">
      <alignment horizontal="center" vertical="center" textRotation="90" wrapText="1"/>
    </xf>
    <xf numFmtId="0" fontId="29" fillId="0" borderId="13" xfId="1" applyFont="1" applyBorder="1" applyAlignment="1">
      <alignment horizontal="center" vertical="center" textRotation="90" wrapText="1"/>
    </xf>
    <xf numFmtId="4" fontId="29" fillId="0" borderId="10" xfId="1" applyNumberFormat="1" applyFont="1" applyBorder="1" applyAlignment="1">
      <alignment horizontal="center" vertical="center" textRotation="90" wrapText="1"/>
    </xf>
    <xf numFmtId="0" fontId="29" fillId="0" borderId="10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textRotation="90" wrapText="1"/>
    </xf>
    <xf numFmtId="0" fontId="8" fillId="0" borderId="10" xfId="1" applyBorder="1" applyAlignment="1">
      <alignment horizontal="center" vertical="center" textRotation="90"/>
    </xf>
    <xf numFmtId="10" fontId="9" fillId="0" borderId="10" xfId="1" applyNumberFormat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top" wrapText="1"/>
    </xf>
    <xf numFmtId="0" fontId="9" fillId="0" borderId="12" xfId="1" applyFont="1" applyBorder="1" applyAlignment="1">
      <alignment horizontal="center" vertical="top" wrapText="1"/>
    </xf>
    <xf numFmtId="0" fontId="9" fillId="0" borderId="13" xfId="1" applyFont="1" applyBorder="1" applyAlignment="1">
      <alignment horizontal="center" vertical="top" wrapText="1"/>
    </xf>
    <xf numFmtId="0" fontId="9" fillId="0" borderId="11" xfId="1" applyFont="1" applyBorder="1" applyAlignment="1">
      <alignment horizontal="center" vertical="center" textRotation="90" wrapText="1"/>
    </xf>
    <xf numFmtId="0" fontId="9" fillId="0" borderId="12" xfId="1" applyFont="1" applyBorder="1" applyAlignment="1">
      <alignment horizontal="center" vertical="center" textRotation="90" wrapText="1"/>
    </xf>
    <xf numFmtId="0" fontId="9" fillId="0" borderId="13" xfId="1" applyFont="1" applyBorder="1" applyAlignment="1">
      <alignment horizontal="center" vertical="center" textRotation="90" wrapText="1"/>
    </xf>
    <xf numFmtId="0" fontId="9" fillId="0" borderId="10" xfId="1" applyFont="1" applyBorder="1" applyAlignment="1">
      <alignment horizontal="center" vertical="center" wrapText="1"/>
    </xf>
    <xf numFmtId="4" fontId="9" fillId="26" borderId="10" xfId="1" applyNumberFormat="1" applyFont="1" applyFill="1" applyBorder="1" applyAlignment="1">
      <alignment horizontal="center" vertical="center" textRotation="90" wrapText="1"/>
    </xf>
    <xf numFmtId="4" fontId="9" fillId="0" borderId="11" xfId="1" applyNumberFormat="1" applyFont="1" applyBorder="1" applyAlignment="1">
      <alignment horizontal="center" vertical="center" wrapText="1"/>
    </xf>
    <xf numFmtId="4" fontId="9" fillId="0" borderId="12" xfId="1" applyNumberFormat="1" applyFont="1" applyBorder="1" applyAlignment="1">
      <alignment horizontal="center" vertical="center" wrapText="1"/>
    </xf>
    <xf numFmtId="4" fontId="9" fillId="0" borderId="13" xfId="1" applyNumberFormat="1" applyFont="1" applyBorder="1" applyAlignment="1">
      <alignment horizontal="center" vertical="center" wrapText="1"/>
    </xf>
    <xf numFmtId="0" fontId="8" fillId="0" borderId="10" xfId="1" applyBorder="1" applyAlignment="1">
      <alignment horizontal="center" vertical="center"/>
    </xf>
    <xf numFmtId="0" fontId="41" fillId="0" borderId="14" xfId="0" applyFont="1" applyBorder="1" applyAlignment="1">
      <alignment horizontal="left" wrapText="1"/>
    </xf>
    <xf numFmtId="0" fontId="41" fillId="0" borderId="14" xfId="0" applyFont="1" applyBorder="1" applyAlignment="1">
      <alignment wrapText="1"/>
    </xf>
    <xf numFmtId="0" fontId="9" fillId="25" borderId="10" xfId="1" applyFont="1" applyFill="1" applyBorder="1" applyAlignment="1">
      <alignment horizontal="center" vertical="center" wrapText="1"/>
    </xf>
    <xf numFmtId="4" fontId="9" fillId="25" borderId="10" xfId="1" applyNumberFormat="1" applyFont="1" applyFill="1" applyBorder="1" applyAlignment="1">
      <alignment horizontal="center" vertical="center" textRotation="90" wrapText="1"/>
    </xf>
    <xf numFmtId="0" fontId="49" fillId="0" borderId="11" xfId="50" applyFont="1" applyBorder="1" applyAlignment="1">
      <alignment horizontal="center" vertical="center"/>
    </xf>
    <xf numFmtId="0" fontId="49" fillId="0" borderId="12" xfId="50" applyFont="1" applyBorder="1" applyAlignment="1">
      <alignment horizontal="center" vertical="center"/>
    </xf>
    <xf numFmtId="0" fontId="49" fillId="0" borderId="13" xfId="50" applyFont="1" applyBorder="1" applyAlignment="1">
      <alignment horizontal="center" vertical="center"/>
    </xf>
    <xf numFmtId="0" fontId="50" fillId="0" borderId="10" xfId="50" applyFont="1" applyBorder="1" applyAlignment="1">
      <alignment horizontal="center" vertical="center"/>
    </xf>
    <xf numFmtId="0" fontId="50" fillId="0" borderId="10" xfId="50" applyFont="1" applyBorder="1" applyAlignment="1">
      <alignment horizontal="center" vertical="center" wrapText="1"/>
    </xf>
    <xf numFmtId="0" fontId="50" fillId="0" borderId="11" xfId="50" applyFont="1" applyBorder="1" applyAlignment="1">
      <alignment horizontal="center" vertical="center"/>
    </xf>
    <xf numFmtId="0" fontId="50" fillId="0" borderId="12" xfId="50" applyFont="1" applyBorder="1" applyAlignment="1">
      <alignment horizontal="center" vertical="center"/>
    </xf>
    <xf numFmtId="0" fontId="50" fillId="0" borderId="13" xfId="50" applyFont="1" applyBorder="1" applyAlignment="1">
      <alignment horizontal="center" vertical="center"/>
    </xf>
    <xf numFmtId="0" fontId="50" fillId="0" borderId="11" xfId="50" applyFont="1" applyBorder="1" applyAlignment="1">
      <alignment horizontal="center" vertical="center" wrapText="1"/>
    </xf>
    <xf numFmtId="0" fontId="50" fillId="0" borderId="12" xfId="50" applyFont="1" applyBorder="1" applyAlignment="1">
      <alignment horizontal="center" vertical="center" wrapText="1"/>
    </xf>
    <xf numFmtId="0" fontId="50" fillId="0" borderId="13" xfId="50" applyFont="1" applyBorder="1" applyAlignment="1">
      <alignment horizontal="center" vertical="center" wrapText="1"/>
    </xf>
    <xf numFmtId="0" fontId="51" fillId="0" borderId="11" xfId="50" applyFont="1" applyBorder="1" applyAlignment="1">
      <alignment horizontal="center" vertical="center" wrapText="1"/>
    </xf>
    <xf numFmtId="0" fontId="51" fillId="0" borderId="12" xfId="50" applyFont="1" applyBorder="1" applyAlignment="1">
      <alignment horizontal="center" vertical="center" wrapText="1"/>
    </xf>
    <xf numFmtId="0" fontId="51" fillId="0" borderId="13" xfId="50" applyFont="1" applyBorder="1" applyAlignment="1">
      <alignment horizontal="center" vertical="center" wrapText="1"/>
    </xf>
    <xf numFmtId="0" fontId="49" fillId="25" borderId="11" xfId="50" applyFont="1" applyFill="1" applyBorder="1" applyAlignment="1">
      <alignment horizontal="center" vertical="center"/>
    </xf>
    <xf numFmtId="0" fontId="49" fillId="25" borderId="12" xfId="50" applyFont="1" applyFill="1" applyBorder="1" applyAlignment="1">
      <alignment horizontal="center" vertical="center"/>
    </xf>
    <xf numFmtId="0" fontId="49" fillId="25" borderId="13" xfId="50" applyFont="1" applyFill="1" applyBorder="1" applyAlignment="1">
      <alignment horizontal="center" vertical="center"/>
    </xf>
    <xf numFmtId="0" fontId="49" fillId="0" borderId="10" xfId="50" applyFont="1" applyBorder="1" applyAlignment="1">
      <alignment horizontal="center" vertical="center"/>
    </xf>
    <xf numFmtId="0" fontId="50" fillId="0" borderId="11" xfId="50" applyFont="1" applyBorder="1" applyAlignment="1">
      <alignment horizontal="center"/>
    </xf>
    <xf numFmtId="0" fontId="50" fillId="0" borderId="13" xfId="50" applyFont="1" applyBorder="1" applyAlignment="1">
      <alignment horizontal="center"/>
    </xf>
    <xf numFmtId="0" fontId="51" fillId="0" borderId="10" xfId="50" applyFont="1" applyBorder="1" applyAlignment="1">
      <alignment horizontal="center" vertical="center" wrapText="1"/>
    </xf>
    <xf numFmtId="0" fontId="49" fillId="25" borderId="10" xfId="50" applyFont="1" applyFill="1" applyBorder="1" applyAlignment="1">
      <alignment horizontal="center" vertical="center"/>
    </xf>
    <xf numFmtId="0" fontId="49" fillId="0" borderId="11" xfId="50" applyFont="1" applyBorder="1" applyAlignment="1">
      <alignment horizontal="center" vertical="center" wrapText="1"/>
    </xf>
    <xf numFmtId="0" fontId="49" fillId="0" borderId="13" xfId="50" applyFont="1" applyBorder="1" applyAlignment="1">
      <alignment horizontal="center" vertical="center" wrapText="1"/>
    </xf>
    <xf numFmtId="0" fontId="49" fillId="0" borderId="12" xfId="50" applyFont="1" applyBorder="1" applyAlignment="1">
      <alignment horizontal="center" vertical="center" wrapText="1"/>
    </xf>
    <xf numFmtId="0" fontId="53" fillId="0" borderId="11" xfId="50" applyFont="1" applyBorder="1" applyAlignment="1">
      <alignment horizontal="center" vertical="center" wrapText="1"/>
    </xf>
    <xf numFmtId="0" fontId="53" fillId="0" borderId="13" xfId="5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0" fontId="47" fillId="0" borderId="10" xfId="50" applyFont="1" applyBorder="1" applyAlignment="1">
      <alignment wrapText="1"/>
    </xf>
    <xf numFmtId="0" fontId="49" fillId="0" borderId="10" xfId="50" applyFont="1" applyBorder="1" applyAlignment="1">
      <alignment horizontal="center" vertical="center" wrapText="1"/>
    </xf>
  </cellXfs>
  <cellStyles count="51">
    <cellStyle name="20% - akcent 1 2" xfId="2" xr:uid="{00000000-0005-0000-0000-000000000000}"/>
    <cellStyle name="20% - akcent 2 2" xfId="3" xr:uid="{00000000-0005-0000-0000-000001000000}"/>
    <cellStyle name="20% - akcent 3 2" xfId="4" xr:uid="{00000000-0005-0000-0000-000002000000}"/>
    <cellStyle name="20% - akcent 4 2" xfId="5" xr:uid="{00000000-0005-0000-0000-000003000000}"/>
    <cellStyle name="20% - akcent 5 2" xfId="6" xr:uid="{00000000-0005-0000-0000-000004000000}"/>
    <cellStyle name="20% - akcent 6 2" xfId="7" xr:uid="{00000000-0005-0000-0000-000005000000}"/>
    <cellStyle name="40% - akcent 1 2" xfId="8" xr:uid="{00000000-0005-0000-0000-000006000000}"/>
    <cellStyle name="40% - akcent 2 2" xfId="9" xr:uid="{00000000-0005-0000-0000-000007000000}"/>
    <cellStyle name="40% - akcent 3 2" xfId="10" xr:uid="{00000000-0005-0000-0000-000008000000}"/>
    <cellStyle name="40% - akcent 4 2" xfId="11" xr:uid="{00000000-0005-0000-0000-000009000000}"/>
    <cellStyle name="40% - akcent 5 2" xfId="12" xr:uid="{00000000-0005-0000-0000-00000A000000}"/>
    <cellStyle name="40% - akcent 6 2" xfId="13" xr:uid="{00000000-0005-0000-0000-00000B000000}"/>
    <cellStyle name="60% - akcent 1 2" xfId="14" xr:uid="{00000000-0005-0000-0000-00000C000000}"/>
    <cellStyle name="60% - akcent 2 2" xfId="15" xr:uid="{00000000-0005-0000-0000-00000D000000}"/>
    <cellStyle name="60% - akcent 3 2" xfId="16" xr:uid="{00000000-0005-0000-0000-00000E000000}"/>
    <cellStyle name="60% - akcent 4 2" xfId="17" xr:uid="{00000000-0005-0000-0000-00000F000000}"/>
    <cellStyle name="60% - akcent 5 2" xfId="18" xr:uid="{00000000-0005-0000-0000-000010000000}"/>
    <cellStyle name="60% - akcent 6 2" xfId="19" xr:uid="{00000000-0005-0000-0000-000011000000}"/>
    <cellStyle name="Akcent 1 2" xfId="20" xr:uid="{00000000-0005-0000-0000-000012000000}"/>
    <cellStyle name="Akcent 2 2" xfId="21" xr:uid="{00000000-0005-0000-0000-000013000000}"/>
    <cellStyle name="Akcent 3 2" xfId="22" xr:uid="{00000000-0005-0000-0000-000014000000}"/>
    <cellStyle name="Akcent 4 2" xfId="23" xr:uid="{00000000-0005-0000-0000-000015000000}"/>
    <cellStyle name="Akcent 5 2" xfId="24" xr:uid="{00000000-0005-0000-0000-000016000000}"/>
    <cellStyle name="Akcent 6 2" xfId="25" xr:uid="{00000000-0005-0000-0000-000017000000}"/>
    <cellStyle name="Dane wejściowe 2" xfId="26" xr:uid="{00000000-0005-0000-0000-000018000000}"/>
    <cellStyle name="Dane wyjściowe 2" xfId="27" xr:uid="{00000000-0005-0000-0000-000019000000}"/>
    <cellStyle name="Dobre 2" xfId="28" xr:uid="{00000000-0005-0000-0000-00001A000000}"/>
    <cellStyle name="Dziesiętny" xfId="45" builtinId="3"/>
    <cellStyle name="Komórka połączona 2" xfId="29" xr:uid="{00000000-0005-0000-0000-00001B000000}"/>
    <cellStyle name="Komórka zaznaczona 2" xfId="30" xr:uid="{00000000-0005-0000-0000-00001C000000}"/>
    <cellStyle name="Nagłówek 1 2" xfId="31" xr:uid="{00000000-0005-0000-0000-00001D000000}"/>
    <cellStyle name="Nagłówek 2 2" xfId="32" xr:uid="{00000000-0005-0000-0000-00001E000000}"/>
    <cellStyle name="Nagłówek 3 2" xfId="33" xr:uid="{00000000-0005-0000-0000-00001F000000}"/>
    <cellStyle name="Nagłówek 4 2" xfId="34" xr:uid="{00000000-0005-0000-0000-000020000000}"/>
    <cellStyle name="Neutralne 2" xfId="35" xr:uid="{00000000-0005-0000-0000-000021000000}"/>
    <cellStyle name="Normalny" xfId="0" builtinId="0"/>
    <cellStyle name="Normalny 2" xfId="1" xr:uid="{00000000-0005-0000-0000-000023000000}"/>
    <cellStyle name="Normalny 3" xfId="43" xr:uid="{30049E34-8FCC-4578-9F1A-667C091C5990}"/>
    <cellStyle name="Normalny 3 2" xfId="44" xr:uid="{340585A2-116C-43D1-88AD-761DEE98C7A5}"/>
    <cellStyle name="Normalny 3 3" xfId="46" xr:uid="{235B6493-AC61-4F1F-97C8-7C2784863DA3}"/>
    <cellStyle name="Normalny 3 3 2" xfId="47" xr:uid="{7145530B-C7A6-4A8C-9480-1B697B575F7A}"/>
    <cellStyle name="Normalny 3 3 3" xfId="48" xr:uid="{4A44E7DF-5406-40AA-B7C7-4ADF559CABE9}"/>
    <cellStyle name="Normalny 3 3 4" xfId="49" xr:uid="{61DC73F7-FD5E-4EB3-AD38-204129F27843}"/>
    <cellStyle name="Normalny 3 3 5" xfId="50" xr:uid="{A42D4B9D-43B5-4914-9BA1-FE9D287D1D7A}"/>
    <cellStyle name="Obliczenia 2" xfId="36" xr:uid="{00000000-0005-0000-0000-000024000000}"/>
    <cellStyle name="Suma 2" xfId="37" xr:uid="{00000000-0005-0000-0000-000025000000}"/>
    <cellStyle name="Tekst objaśnienia 2" xfId="38" xr:uid="{00000000-0005-0000-0000-000026000000}"/>
    <cellStyle name="Tekst ostrzeżenia 2" xfId="39" xr:uid="{00000000-0005-0000-0000-000027000000}"/>
    <cellStyle name="Tytuł 2" xfId="40" xr:uid="{00000000-0005-0000-0000-000028000000}"/>
    <cellStyle name="Uwaga 2" xfId="41" xr:uid="{00000000-0005-0000-0000-000029000000}"/>
    <cellStyle name="Złe 2" xfId="42" xr:uid="{00000000-0005-0000-0000-00002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8"/>
  <sheetViews>
    <sheetView workbookViewId="0">
      <pane xSplit="1" ySplit="5" topLeftCell="B57" activePane="bottomRight" state="frozen"/>
      <selection pane="topRight" activeCell="B1" sqref="B1"/>
      <selection pane="bottomLeft" activeCell="A6" sqref="A6"/>
      <selection pane="bottomRight" activeCell="L70" activeCellId="1" sqref="K70 L70"/>
    </sheetView>
  </sheetViews>
  <sheetFormatPr defaultRowHeight="14.25"/>
  <cols>
    <col min="1" max="1" width="12" style="1" customWidth="1"/>
    <col min="2" max="2" width="8" style="2" customWidth="1"/>
    <col min="3" max="3" width="7.5" customWidth="1"/>
    <col min="4" max="4" width="11.5" style="3" customWidth="1"/>
    <col min="5" max="5" width="9" style="26"/>
    <col min="6" max="6" width="11.75" style="33" customWidth="1"/>
    <col min="7" max="7" width="11.625" style="26" bestFit="1" customWidth="1"/>
    <col min="8" max="8" width="11.625" style="26" customWidth="1"/>
    <col min="9" max="9" width="11.125" style="20" customWidth="1"/>
    <col min="10" max="10" width="10.25" style="18" bestFit="1" customWidth="1"/>
    <col min="11" max="11" width="9.5" customWidth="1"/>
    <col min="12" max="12" width="10.375" customWidth="1"/>
    <col min="13" max="13" width="9.625" customWidth="1"/>
    <col min="14" max="14" width="11.375" style="20" bestFit="1" customWidth="1"/>
    <col min="15" max="15" width="12" bestFit="1" customWidth="1"/>
    <col min="17" max="17" width="9" style="84"/>
    <col min="18" max="18" width="16.5" bestFit="1" customWidth="1"/>
  </cols>
  <sheetData>
    <row r="1" spans="1:18">
      <c r="I1" s="84"/>
      <c r="J1"/>
      <c r="N1" s="84"/>
    </row>
    <row r="2" spans="1:18" ht="22.5" customHeight="1">
      <c r="A2" s="149"/>
      <c r="B2" s="154" t="s">
        <v>174</v>
      </c>
      <c r="C2" s="152" t="s">
        <v>1</v>
      </c>
      <c r="D2" s="158" t="s">
        <v>2</v>
      </c>
      <c r="E2" s="158"/>
      <c r="F2" s="158"/>
      <c r="G2" s="158"/>
      <c r="H2" s="82"/>
      <c r="I2" s="60" t="s">
        <v>3</v>
      </c>
      <c r="J2" s="158" t="s">
        <v>4</v>
      </c>
      <c r="K2" s="158"/>
      <c r="L2" s="158"/>
      <c r="M2" s="158"/>
      <c r="N2" s="157" t="s">
        <v>5</v>
      </c>
      <c r="O2" s="152" t="s">
        <v>6</v>
      </c>
      <c r="P2" s="152" t="s">
        <v>11</v>
      </c>
    </row>
    <row r="3" spans="1:18" ht="61.5" customHeight="1">
      <c r="A3" s="150"/>
      <c r="B3" s="155"/>
      <c r="C3" s="152"/>
      <c r="D3" s="83" t="s">
        <v>12</v>
      </c>
      <c r="E3" s="85" t="s">
        <v>13</v>
      </c>
      <c r="F3" s="83" t="s">
        <v>14</v>
      </c>
      <c r="G3" s="86" t="s">
        <v>175</v>
      </c>
      <c r="H3" s="86" t="s">
        <v>176</v>
      </c>
      <c r="I3" s="99" t="s">
        <v>12</v>
      </c>
      <c r="J3" s="99" t="s">
        <v>12</v>
      </c>
      <c r="K3" s="83" t="s">
        <v>16</v>
      </c>
      <c r="L3" s="83" t="s">
        <v>228</v>
      </c>
      <c r="M3" s="83" t="s">
        <v>19</v>
      </c>
      <c r="N3" s="157"/>
      <c r="O3" s="153"/>
      <c r="P3" s="153"/>
    </row>
    <row r="4" spans="1:18">
      <c r="A4" s="150"/>
      <c r="B4" s="155"/>
      <c r="C4" s="152"/>
      <c r="D4" s="87" t="s">
        <v>22</v>
      </c>
      <c r="E4" s="88" t="s">
        <v>23</v>
      </c>
      <c r="F4" s="87" t="s">
        <v>24</v>
      </c>
      <c r="G4" s="89" t="s">
        <v>25</v>
      </c>
      <c r="H4" s="89" t="s">
        <v>26</v>
      </c>
      <c r="I4" s="60" t="s">
        <v>27</v>
      </c>
      <c r="J4" s="60" t="s">
        <v>28</v>
      </c>
      <c r="K4" s="87" t="s">
        <v>29</v>
      </c>
      <c r="L4" s="87" t="s">
        <v>30</v>
      </c>
      <c r="M4" s="87" t="s">
        <v>31</v>
      </c>
      <c r="N4" s="100" t="s">
        <v>32</v>
      </c>
      <c r="O4" s="87" t="s">
        <v>33</v>
      </c>
      <c r="P4" s="87" t="s">
        <v>34</v>
      </c>
    </row>
    <row r="5" spans="1:18">
      <c r="A5" s="151"/>
      <c r="B5" s="156"/>
      <c r="C5" s="152"/>
      <c r="D5" s="90" t="s">
        <v>225</v>
      </c>
      <c r="E5" s="88"/>
      <c r="F5" s="87"/>
      <c r="G5" s="89"/>
      <c r="H5" s="89"/>
      <c r="I5" s="61" t="s">
        <v>226</v>
      </c>
      <c r="J5" s="61" t="s">
        <v>41</v>
      </c>
      <c r="K5" s="87"/>
      <c r="L5" s="87"/>
      <c r="M5" s="87"/>
      <c r="N5" s="100"/>
      <c r="O5" s="90" t="s">
        <v>227</v>
      </c>
      <c r="P5" s="90"/>
    </row>
    <row r="6" spans="1:18">
      <c r="A6" s="81"/>
      <c r="B6" s="82"/>
      <c r="C6" s="83"/>
      <c r="D6" s="91"/>
      <c r="E6" s="92"/>
      <c r="F6" s="82"/>
      <c r="G6" s="89"/>
      <c r="H6" s="89"/>
      <c r="I6" s="61"/>
      <c r="J6" s="61"/>
      <c r="K6" s="82"/>
      <c r="L6" s="82"/>
      <c r="M6" s="82"/>
      <c r="N6" s="60"/>
      <c r="O6" s="91"/>
      <c r="P6" s="91"/>
    </row>
    <row r="7" spans="1:18" s="40" customFormat="1" ht="16.5">
      <c r="A7" s="37" t="s">
        <v>173</v>
      </c>
      <c r="B7" s="36"/>
      <c r="C7" s="49" t="s">
        <v>162</v>
      </c>
      <c r="D7" s="34">
        <f>(D8+D9+D10+D11+D12+D13+D14+D15+D16+D17)</f>
        <v>97346294</v>
      </c>
      <c r="E7" s="34">
        <v>0</v>
      </c>
      <c r="F7" s="34">
        <f>(F8+F9+F10+F11+F12+F13+F14+F15+F16+F17)</f>
        <v>97346294</v>
      </c>
      <c r="G7" s="35">
        <v>0</v>
      </c>
      <c r="H7" s="34">
        <f>(H8+H9+H10+H11+H12+H13+H14+H15)</f>
        <v>0</v>
      </c>
      <c r="I7" s="34">
        <f t="shared" ref="I7:O7" si="0">(I8+I9+I10+I11+I12+I13+I14+I15+I16+I17)</f>
        <v>17178757.764705885</v>
      </c>
      <c r="J7" s="34">
        <f t="shared" si="0"/>
        <v>5804564.7647058843</v>
      </c>
      <c r="K7" s="34">
        <f t="shared" si="0"/>
        <v>0</v>
      </c>
      <c r="L7" s="34">
        <f t="shared" si="0"/>
        <v>5804564.7647058843</v>
      </c>
      <c r="M7" s="34">
        <f t="shared" si="0"/>
        <v>0</v>
      </c>
      <c r="N7" s="34">
        <f t="shared" si="0"/>
        <v>11374193</v>
      </c>
      <c r="O7" s="34">
        <f t="shared" si="0"/>
        <v>114525051.7647059</v>
      </c>
      <c r="P7" s="34">
        <f t="shared" ref="P7" si="1">(P8+P9+P10+P11+P12+P13+P14+P15)</f>
        <v>0</v>
      </c>
      <c r="Q7" s="94">
        <f>D7*100/O7</f>
        <v>84.999999999999986</v>
      </c>
      <c r="R7" s="95"/>
    </row>
    <row r="8" spans="1:18" ht="16.5">
      <c r="A8" s="12" t="s">
        <v>131</v>
      </c>
      <c r="B8" s="8" t="s">
        <v>177</v>
      </c>
      <c r="C8" s="49" t="s">
        <v>162</v>
      </c>
      <c r="D8" s="5">
        <f>E8+F8+G8+H8</f>
        <v>26550000</v>
      </c>
      <c r="E8" s="9">
        <v>0</v>
      </c>
      <c r="F8" s="5">
        <v>26550000</v>
      </c>
      <c r="G8" s="4">
        <v>0</v>
      </c>
      <c r="H8" s="4">
        <v>0</v>
      </c>
      <c r="I8" s="9">
        <f>(J8+N8)</f>
        <v>4685294.1176470593</v>
      </c>
      <c r="J8" s="9">
        <f>K8+L8+M8</f>
        <v>685294.11764705926</v>
      </c>
      <c r="K8" s="4">
        <v>0</v>
      </c>
      <c r="L8" s="4">
        <f t="shared" ref="L8:L15" si="2">F8*100/85*15/100-K8-N8</f>
        <v>685294.11764705926</v>
      </c>
      <c r="M8" s="4">
        <v>0</v>
      </c>
      <c r="N8" s="4">
        <v>4000000</v>
      </c>
      <c r="O8" s="9">
        <f>D8+I8</f>
        <v>31235294.117647059</v>
      </c>
      <c r="P8" s="48">
        <v>0</v>
      </c>
      <c r="Q8" s="94">
        <f t="shared" ref="Q8:Q76" si="3">D8*100/O8</f>
        <v>85</v>
      </c>
      <c r="R8" s="96"/>
    </row>
    <row r="9" spans="1:18" ht="16.5">
      <c r="A9" s="12" t="s">
        <v>133</v>
      </c>
      <c r="B9" s="8" t="s">
        <v>181</v>
      </c>
      <c r="C9" s="49" t="s">
        <v>162</v>
      </c>
      <c r="D9" s="5">
        <f t="shared" ref="D9:D75" si="4">E9+F9+G9+H9</f>
        <v>12559401</v>
      </c>
      <c r="E9" s="9">
        <v>0</v>
      </c>
      <c r="F9" s="5">
        <v>12559401</v>
      </c>
      <c r="G9" s="4">
        <v>0</v>
      </c>
      <c r="H9" s="4">
        <v>0</v>
      </c>
      <c r="I9" s="9">
        <f t="shared" ref="I9:I15" si="5">(J9+N9)</f>
        <v>2216364.8823529412</v>
      </c>
      <c r="J9" s="9">
        <f t="shared" ref="J9:J15" si="6">K9+L9+M9</f>
        <v>2216364.8823529412</v>
      </c>
      <c r="K9" s="4">
        <v>0</v>
      </c>
      <c r="L9" s="4">
        <f>F9*100/85*15/100-K9-N9</f>
        <v>2216364.8823529412</v>
      </c>
      <c r="M9" s="4">
        <v>0</v>
      </c>
      <c r="N9" s="4">
        <v>0</v>
      </c>
      <c r="O9" s="9">
        <f t="shared" ref="O9:O17" si="7">D9+I9</f>
        <v>14775765.882352941</v>
      </c>
      <c r="P9" s="48">
        <v>0</v>
      </c>
      <c r="Q9" s="94">
        <f t="shared" si="3"/>
        <v>85</v>
      </c>
      <c r="R9" s="96"/>
    </row>
    <row r="10" spans="1:18" ht="16.5">
      <c r="A10" s="12" t="s">
        <v>134</v>
      </c>
      <c r="B10" s="8" t="s">
        <v>181</v>
      </c>
      <c r="C10" s="49" t="s">
        <v>162</v>
      </c>
      <c r="D10" s="5">
        <f t="shared" si="4"/>
        <v>2890000</v>
      </c>
      <c r="E10" s="5">
        <v>0</v>
      </c>
      <c r="F10" s="5">
        <v>2890000</v>
      </c>
      <c r="G10" s="5">
        <v>0</v>
      </c>
      <c r="H10" s="5">
        <v>0</v>
      </c>
      <c r="I10" s="9">
        <f t="shared" si="5"/>
        <v>510000</v>
      </c>
      <c r="J10" s="9">
        <f t="shared" si="6"/>
        <v>510000</v>
      </c>
      <c r="K10" s="4">
        <v>0</v>
      </c>
      <c r="L10" s="4">
        <f>F10*100/85*15/100-K10-N10</f>
        <v>510000</v>
      </c>
      <c r="M10" s="4">
        <v>0</v>
      </c>
      <c r="N10" s="4">
        <v>0</v>
      </c>
      <c r="O10" s="9">
        <f t="shared" si="7"/>
        <v>3400000</v>
      </c>
      <c r="P10" s="48">
        <v>0</v>
      </c>
      <c r="Q10" s="94">
        <f t="shared" si="3"/>
        <v>85</v>
      </c>
      <c r="R10" s="96"/>
    </row>
    <row r="11" spans="1:18" ht="16.5">
      <c r="A11" s="12" t="s">
        <v>137</v>
      </c>
      <c r="B11" s="8" t="s">
        <v>181</v>
      </c>
      <c r="C11" s="49" t="s">
        <v>162</v>
      </c>
      <c r="D11" s="5">
        <f t="shared" si="4"/>
        <v>2798713</v>
      </c>
      <c r="E11" s="9">
        <v>0</v>
      </c>
      <c r="F11" s="5">
        <v>2798713</v>
      </c>
      <c r="G11" s="4">
        <v>0</v>
      </c>
      <c r="H11" s="4">
        <v>0</v>
      </c>
      <c r="I11" s="9">
        <f t="shared" si="5"/>
        <v>493890.52941176476</v>
      </c>
      <c r="J11" s="9">
        <f t="shared" si="6"/>
        <v>493890.52941176476</v>
      </c>
      <c r="K11" s="4">
        <f t="shared" ref="K11" si="8">K12+K13</f>
        <v>0</v>
      </c>
      <c r="L11" s="4">
        <f t="shared" si="2"/>
        <v>493890.52941176476</v>
      </c>
      <c r="M11" s="4">
        <f t="shared" ref="M11" si="9">M12+M13</f>
        <v>0</v>
      </c>
      <c r="N11" s="4">
        <v>0</v>
      </c>
      <c r="O11" s="9">
        <f t="shared" si="7"/>
        <v>3292603.5294117648</v>
      </c>
      <c r="P11" s="48">
        <v>0</v>
      </c>
      <c r="Q11" s="94">
        <f t="shared" si="3"/>
        <v>85</v>
      </c>
      <c r="R11" s="96"/>
    </row>
    <row r="12" spans="1:18" ht="16.5">
      <c r="A12" s="12" t="s">
        <v>142</v>
      </c>
      <c r="B12" s="8" t="s">
        <v>182</v>
      </c>
      <c r="C12" s="49" t="s">
        <v>162</v>
      </c>
      <c r="D12" s="5">
        <f t="shared" si="4"/>
        <v>27427729</v>
      </c>
      <c r="E12" s="9">
        <v>0</v>
      </c>
      <c r="F12" s="5">
        <v>27427729</v>
      </c>
      <c r="G12" s="4">
        <v>0</v>
      </c>
      <c r="H12" s="4">
        <v>0</v>
      </c>
      <c r="I12" s="9">
        <f t="shared" si="5"/>
        <v>4840187.4705882361</v>
      </c>
      <c r="J12" s="9">
        <f t="shared" si="6"/>
        <v>840187.47058823612</v>
      </c>
      <c r="K12" s="4">
        <v>0</v>
      </c>
      <c r="L12" s="4">
        <f t="shared" si="2"/>
        <v>840187.47058823612</v>
      </c>
      <c r="M12" s="4">
        <v>0</v>
      </c>
      <c r="N12" s="4">
        <v>4000000</v>
      </c>
      <c r="O12" s="9">
        <f t="shared" si="7"/>
        <v>32267916.470588237</v>
      </c>
      <c r="P12" s="48">
        <v>0</v>
      </c>
      <c r="Q12" s="94">
        <f t="shared" si="3"/>
        <v>85</v>
      </c>
      <c r="R12" s="96"/>
    </row>
    <row r="13" spans="1:18" ht="16.5">
      <c r="A13" s="12" t="s">
        <v>178</v>
      </c>
      <c r="B13" s="8" t="s">
        <v>182</v>
      </c>
      <c r="C13" s="49" t="s">
        <v>162</v>
      </c>
      <c r="D13" s="5">
        <f t="shared" si="4"/>
        <v>11560000</v>
      </c>
      <c r="E13" s="9">
        <v>0</v>
      </c>
      <c r="F13" s="5">
        <v>11560000</v>
      </c>
      <c r="G13" s="4">
        <v>0</v>
      </c>
      <c r="H13" s="4">
        <v>0</v>
      </c>
      <c r="I13" s="9">
        <f t="shared" si="5"/>
        <v>2040000</v>
      </c>
      <c r="J13" s="9">
        <f t="shared" si="6"/>
        <v>0</v>
      </c>
      <c r="K13" s="4">
        <v>0</v>
      </c>
      <c r="L13" s="4">
        <f t="shared" si="2"/>
        <v>0</v>
      </c>
      <c r="M13" s="4">
        <v>0</v>
      </c>
      <c r="N13" s="4">
        <v>2040000</v>
      </c>
      <c r="O13" s="9">
        <f t="shared" si="7"/>
        <v>13600000</v>
      </c>
      <c r="P13" s="48">
        <v>0</v>
      </c>
      <c r="Q13" s="94">
        <f t="shared" si="3"/>
        <v>85</v>
      </c>
      <c r="R13" s="96"/>
    </row>
    <row r="14" spans="1:18" ht="16.5">
      <c r="A14" s="12" t="s">
        <v>179</v>
      </c>
      <c r="B14" s="8" t="s">
        <v>182</v>
      </c>
      <c r="C14" s="49" t="s">
        <v>162</v>
      </c>
      <c r="D14" s="5">
        <f t="shared" si="4"/>
        <v>2527608</v>
      </c>
      <c r="E14" s="9">
        <v>0</v>
      </c>
      <c r="F14" s="5">
        <v>2527608</v>
      </c>
      <c r="G14" s="4">
        <v>0</v>
      </c>
      <c r="H14" s="4">
        <v>0</v>
      </c>
      <c r="I14" s="9">
        <f t="shared" si="5"/>
        <v>446048.47058823524</v>
      </c>
      <c r="J14" s="9">
        <f t="shared" si="6"/>
        <v>446048.47058823524</v>
      </c>
      <c r="K14" s="4">
        <v>0</v>
      </c>
      <c r="L14" s="4">
        <f t="shared" si="2"/>
        <v>446048.47058823524</v>
      </c>
      <c r="M14" s="4">
        <v>0</v>
      </c>
      <c r="N14" s="4">
        <v>0</v>
      </c>
      <c r="O14" s="9">
        <f t="shared" si="7"/>
        <v>2973656.4705882352</v>
      </c>
      <c r="P14" s="48">
        <v>0</v>
      </c>
      <c r="Q14" s="94">
        <f t="shared" si="3"/>
        <v>85</v>
      </c>
      <c r="R14" s="96"/>
    </row>
    <row r="15" spans="1:18" ht="16.5">
      <c r="A15" s="12" t="s">
        <v>180</v>
      </c>
      <c r="B15" s="8" t="s">
        <v>183</v>
      </c>
      <c r="C15" s="49" t="s">
        <v>162</v>
      </c>
      <c r="D15" s="5">
        <f t="shared" si="4"/>
        <v>8000000</v>
      </c>
      <c r="E15" s="9">
        <v>0</v>
      </c>
      <c r="F15" s="5">
        <v>8000000</v>
      </c>
      <c r="G15" s="4">
        <v>0</v>
      </c>
      <c r="H15" s="4">
        <v>0</v>
      </c>
      <c r="I15" s="9">
        <f t="shared" si="5"/>
        <v>1411764.7058823532</v>
      </c>
      <c r="J15" s="9">
        <f t="shared" si="6"/>
        <v>77571.705882353242</v>
      </c>
      <c r="K15" s="4">
        <v>0</v>
      </c>
      <c r="L15" s="4">
        <f t="shared" si="2"/>
        <v>77571.705882353242</v>
      </c>
      <c r="M15" s="4">
        <v>0</v>
      </c>
      <c r="N15" s="4">
        <v>1334193</v>
      </c>
      <c r="O15" s="9">
        <f t="shared" si="7"/>
        <v>9411764.7058823537</v>
      </c>
      <c r="P15" s="48">
        <v>0</v>
      </c>
      <c r="Q15" s="94">
        <f t="shared" si="3"/>
        <v>85</v>
      </c>
      <c r="R15" s="96"/>
    </row>
    <row r="16" spans="1:18" ht="16.5">
      <c r="A16" s="12" t="s">
        <v>263</v>
      </c>
      <c r="B16" s="8" t="s">
        <v>181</v>
      </c>
      <c r="C16" s="49" t="s">
        <v>162</v>
      </c>
      <c r="D16" s="5">
        <f t="shared" si="4"/>
        <v>1221145</v>
      </c>
      <c r="E16" s="9">
        <v>0</v>
      </c>
      <c r="F16" s="5">
        <v>1221145</v>
      </c>
      <c r="G16" s="4">
        <v>0</v>
      </c>
      <c r="H16" s="4">
        <v>0</v>
      </c>
      <c r="I16" s="9">
        <f t="shared" ref="I16:I17" si="10">(J16+N16)</f>
        <v>215496.17647058822</v>
      </c>
      <c r="J16" s="9">
        <f t="shared" ref="J16" si="11">K16+L16+M16</f>
        <v>215496.17647058822</v>
      </c>
      <c r="K16" s="4">
        <v>0</v>
      </c>
      <c r="L16" s="4">
        <f t="shared" ref="L16:L17" si="12">F16*100/85*15/100-K16-N16</f>
        <v>215496.17647058822</v>
      </c>
      <c r="M16" s="4">
        <v>0</v>
      </c>
      <c r="N16" s="4">
        <v>0</v>
      </c>
      <c r="O16" s="9">
        <f t="shared" si="7"/>
        <v>1436641.1764705882</v>
      </c>
      <c r="P16" s="48">
        <v>0</v>
      </c>
      <c r="Q16" s="94">
        <f t="shared" si="3"/>
        <v>85</v>
      </c>
      <c r="R16" s="96"/>
    </row>
    <row r="17" spans="1:18" ht="16.5">
      <c r="A17" s="12" t="s">
        <v>264</v>
      </c>
      <c r="B17" s="8" t="s">
        <v>182</v>
      </c>
      <c r="C17" s="49" t="s">
        <v>162</v>
      </c>
      <c r="D17" s="5">
        <f t="shared" si="4"/>
        <v>1811698</v>
      </c>
      <c r="E17" s="9">
        <v>0</v>
      </c>
      <c r="F17" s="5">
        <v>1811698</v>
      </c>
      <c r="G17" s="4">
        <v>0</v>
      </c>
      <c r="H17" s="4">
        <v>0</v>
      </c>
      <c r="I17" s="9">
        <f t="shared" si="10"/>
        <v>319711.4117647059</v>
      </c>
      <c r="J17" s="9">
        <f>K17+L17+M17</f>
        <v>319711.4117647059</v>
      </c>
      <c r="K17" s="4">
        <v>0</v>
      </c>
      <c r="L17" s="4">
        <f t="shared" si="12"/>
        <v>319711.4117647059</v>
      </c>
      <c r="M17" s="4">
        <v>0</v>
      </c>
      <c r="N17" s="4">
        <v>0</v>
      </c>
      <c r="O17" s="9">
        <f t="shared" si="7"/>
        <v>2131409.411764706</v>
      </c>
      <c r="P17" s="48">
        <v>0</v>
      </c>
      <c r="Q17" s="94">
        <f t="shared" si="3"/>
        <v>85</v>
      </c>
      <c r="R17" s="96"/>
    </row>
    <row r="18" spans="1:18" s="40" customFormat="1" ht="16.5">
      <c r="A18" s="37" t="s">
        <v>229</v>
      </c>
      <c r="B18" s="36"/>
      <c r="C18" s="49" t="s">
        <v>162</v>
      </c>
      <c r="D18" s="34">
        <f t="shared" ref="D18:E18" si="13">D19+D20+D21+D22+D23+D24+D25+D26+D27+D28+D29+D30+D31+D32</f>
        <v>184972358</v>
      </c>
      <c r="E18" s="34">
        <f t="shared" si="13"/>
        <v>0</v>
      </c>
      <c r="F18" s="34">
        <f>F19+F20+F21+F22+F23+F24+F25+F26+F27+F28+F29+F30+F31+F32</f>
        <v>184972358</v>
      </c>
      <c r="G18" s="34">
        <f t="shared" ref="G18:H18" si="14">G19+G20+G21+G22+G23+G24+G25+G26+G27+G28+G29</f>
        <v>0</v>
      </c>
      <c r="H18" s="34">
        <f t="shared" si="14"/>
        <v>0</v>
      </c>
      <c r="I18" s="34">
        <f t="shared" ref="I18:P18" si="15">I19+I20+I21+I22+I23+I24+I25+I26+I27+I28+I29+I30+I31+I32</f>
        <v>32642180.823529411</v>
      </c>
      <c r="J18" s="34">
        <f t="shared" si="15"/>
        <v>25348800.823529411</v>
      </c>
      <c r="K18" s="34">
        <f t="shared" si="15"/>
        <v>0</v>
      </c>
      <c r="L18" s="34">
        <f t="shared" si="15"/>
        <v>25348800.823529411</v>
      </c>
      <c r="M18" s="34">
        <f t="shared" si="15"/>
        <v>0</v>
      </c>
      <c r="N18" s="34">
        <f t="shared" si="15"/>
        <v>7293380</v>
      </c>
      <c r="O18" s="34">
        <f t="shared" si="15"/>
        <v>217614538.82352942</v>
      </c>
      <c r="P18" s="34">
        <f t="shared" si="15"/>
        <v>0</v>
      </c>
      <c r="Q18" s="94">
        <f t="shared" si="3"/>
        <v>85</v>
      </c>
      <c r="R18" s="95"/>
    </row>
    <row r="19" spans="1:18" ht="16.5">
      <c r="A19" s="12" t="s">
        <v>128</v>
      </c>
      <c r="B19" s="8" t="s">
        <v>194</v>
      </c>
      <c r="C19" s="49" t="s">
        <v>162</v>
      </c>
      <c r="D19" s="5">
        <f t="shared" si="4"/>
        <v>80612776</v>
      </c>
      <c r="E19" s="9">
        <f t="shared" ref="E19:G19" si="16">E20+E21</f>
        <v>0</v>
      </c>
      <c r="F19" s="5">
        <v>80612776</v>
      </c>
      <c r="G19" s="4">
        <f t="shared" si="16"/>
        <v>0</v>
      </c>
      <c r="H19" s="4">
        <v>0</v>
      </c>
      <c r="I19" s="9">
        <f t="shared" ref="I19:I73" si="17">(J19+N19)</f>
        <v>14225784</v>
      </c>
      <c r="J19" s="9">
        <f t="shared" ref="J19:J75" si="18">K19+L19+M19</f>
        <v>13285345</v>
      </c>
      <c r="K19" s="4">
        <v>0</v>
      </c>
      <c r="L19" s="4">
        <f t="shared" ref="L19:L29" si="19">F19*100/85*15/100-K19-N19</f>
        <v>13285345</v>
      </c>
      <c r="M19" s="4">
        <v>0</v>
      </c>
      <c r="N19" s="4">
        <v>940439</v>
      </c>
      <c r="O19" s="9">
        <f t="shared" ref="O19:O29" si="20">D19+I19</f>
        <v>94838560</v>
      </c>
      <c r="P19" s="48">
        <v>0</v>
      </c>
      <c r="Q19" s="94">
        <f t="shared" si="3"/>
        <v>85</v>
      </c>
      <c r="R19" s="96"/>
    </row>
    <row r="20" spans="1:18" ht="16.5">
      <c r="A20" s="12" t="s">
        <v>184</v>
      </c>
      <c r="B20" s="8" t="s">
        <v>194</v>
      </c>
      <c r="C20" s="49" t="s">
        <v>162</v>
      </c>
      <c r="D20" s="5">
        <f t="shared" si="4"/>
        <v>20000000</v>
      </c>
      <c r="E20" s="9">
        <v>0</v>
      </c>
      <c r="F20" s="5">
        <v>20000000</v>
      </c>
      <c r="G20" s="4">
        <v>0</v>
      </c>
      <c r="H20" s="4">
        <v>0</v>
      </c>
      <c r="I20" s="9">
        <f t="shared" si="17"/>
        <v>3529411.7647058819</v>
      </c>
      <c r="J20" s="9">
        <f t="shared" si="18"/>
        <v>-0.23529411805793643</v>
      </c>
      <c r="K20" s="4">
        <v>0</v>
      </c>
      <c r="L20" s="4">
        <f t="shared" si="19"/>
        <v>-0.23529411805793643</v>
      </c>
      <c r="M20" s="4">
        <v>0</v>
      </c>
      <c r="N20" s="4">
        <v>3529412</v>
      </c>
      <c r="O20" s="9">
        <f t="shared" si="20"/>
        <v>23529411.764705881</v>
      </c>
      <c r="P20" s="48">
        <v>0</v>
      </c>
      <c r="Q20" s="94">
        <f t="shared" si="3"/>
        <v>85</v>
      </c>
      <c r="R20" s="96"/>
    </row>
    <row r="21" spans="1:18" ht="16.5">
      <c r="A21" s="12" t="s">
        <v>185</v>
      </c>
      <c r="B21" s="8" t="s">
        <v>195</v>
      </c>
      <c r="C21" s="49" t="s">
        <v>162</v>
      </c>
      <c r="D21" s="5">
        <f t="shared" si="4"/>
        <v>569978</v>
      </c>
      <c r="E21" s="9">
        <v>0</v>
      </c>
      <c r="F21" s="59">
        <v>569978</v>
      </c>
      <c r="G21" s="4">
        <v>0</v>
      </c>
      <c r="H21" s="4">
        <v>0</v>
      </c>
      <c r="I21" s="9">
        <f t="shared" si="17"/>
        <v>100584.35294117648</v>
      </c>
      <c r="J21" s="9">
        <f t="shared" si="18"/>
        <v>100584.35294117648</v>
      </c>
      <c r="K21" s="4">
        <v>0</v>
      </c>
      <c r="L21" s="56">
        <f t="shared" si="19"/>
        <v>100584.35294117648</v>
      </c>
      <c r="M21" s="4">
        <v>0</v>
      </c>
      <c r="N21" s="4">
        <v>0</v>
      </c>
      <c r="O21" s="9">
        <f t="shared" si="20"/>
        <v>670562.3529411765</v>
      </c>
      <c r="P21" s="48">
        <v>0</v>
      </c>
      <c r="Q21" s="94">
        <f t="shared" si="3"/>
        <v>85</v>
      </c>
      <c r="R21" s="96"/>
    </row>
    <row r="22" spans="1:18" ht="16.5">
      <c r="A22" s="12" t="s">
        <v>186</v>
      </c>
      <c r="B22" s="8" t="s">
        <v>195</v>
      </c>
      <c r="C22" s="49" t="s">
        <v>162</v>
      </c>
      <c r="D22" s="5">
        <f t="shared" si="4"/>
        <v>16000000</v>
      </c>
      <c r="E22" s="9">
        <v>0</v>
      </c>
      <c r="F22" s="5">
        <v>16000000</v>
      </c>
      <c r="G22" s="4">
        <v>0</v>
      </c>
      <c r="H22" s="4">
        <v>0</v>
      </c>
      <c r="I22" s="9">
        <f t="shared" si="17"/>
        <v>2823529.4117647065</v>
      </c>
      <c r="J22" s="9">
        <f t="shared" si="18"/>
        <v>0.41176470648497343</v>
      </c>
      <c r="K22" s="4">
        <v>0</v>
      </c>
      <c r="L22" s="4">
        <f t="shared" si="19"/>
        <v>0.41176470648497343</v>
      </c>
      <c r="M22" s="4">
        <v>0</v>
      </c>
      <c r="N22" s="4">
        <v>2823529</v>
      </c>
      <c r="O22" s="9">
        <f t="shared" si="20"/>
        <v>18823529.411764707</v>
      </c>
      <c r="P22" s="48">
        <v>0</v>
      </c>
      <c r="Q22" s="94">
        <f t="shared" si="3"/>
        <v>85</v>
      </c>
      <c r="R22" s="96"/>
    </row>
    <row r="23" spans="1:18" ht="16.5">
      <c r="A23" s="12" t="s">
        <v>187</v>
      </c>
      <c r="B23" s="8" t="s">
        <v>195</v>
      </c>
      <c r="C23" s="49" t="s">
        <v>162</v>
      </c>
      <c r="D23" s="5">
        <f t="shared" si="4"/>
        <v>1652907.0000000002</v>
      </c>
      <c r="E23" s="9">
        <v>0</v>
      </c>
      <c r="F23" s="59">
        <v>1652907.0000000002</v>
      </c>
      <c r="G23" s="4">
        <v>0</v>
      </c>
      <c r="H23" s="4">
        <v>0</v>
      </c>
      <c r="I23" s="9">
        <f t="shared" si="17"/>
        <v>291689.47058823536</v>
      </c>
      <c r="J23" s="9">
        <f t="shared" si="18"/>
        <v>291689.47058823536</v>
      </c>
      <c r="K23" s="4">
        <v>0</v>
      </c>
      <c r="L23" s="56">
        <f t="shared" si="19"/>
        <v>291689.47058823536</v>
      </c>
      <c r="M23" s="4">
        <v>0</v>
      </c>
      <c r="N23" s="4">
        <v>0</v>
      </c>
      <c r="O23" s="9">
        <f t="shared" si="20"/>
        <v>1944596.4705882357</v>
      </c>
      <c r="P23" s="48">
        <v>0</v>
      </c>
      <c r="Q23" s="94">
        <f t="shared" si="3"/>
        <v>85</v>
      </c>
      <c r="R23" s="96"/>
    </row>
    <row r="24" spans="1:18" ht="16.5">
      <c r="A24" s="12" t="s">
        <v>188</v>
      </c>
      <c r="B24" s="8" t="s">
        <v>196</v>
      </c>
      <c r="C24" s="49" t="s">
        <v>162</v>
      </c>
      <c r="D24" s="5">
        <f t="shared" si="4"/>
        <v>10287072</v>
      </c>
      <c r="E24" s="9">
        <v>0</v>
      </c>
      <c r="F24" s="59">
        <v>10287072</v>
      </c>
      <c r="G24" s="4">
        <v>0</v>
      </c>
      <c r="H24" s="4">
        <v>0</v>
      </c>
      <c r="I24" s="9">
        <f t="shared" si="17"/>
        <v>1815365.6470588236</v>
      </c>
      <c r="J24" s="9">
        <f t="shared" si="18"/>
        <v>1815365.6470588236</v>
      </c>
      <c r="K24" s="4">
        <v>0</v>
      </c>
      <c r="L24" s="56">
        <f t="shared" si="19"/>
        <v>1815365.6470588236</v>
      </c>
      <c r="M24" s="4">
        <v>0</v>
      </c>
      <c r="N24" s="4">
        <v>0</v>
      </c>
      <c r="O24" s="9">
        <f t="shared" si="20"/>
        <v>12102437.647058824</v>
      </c>
      <c r="P24" s="48">
        <v>0</v>
      </c>
      <c r="Q24" s="94">
        <f t="shared" si="3"/>
        <v>85</v>
      </c>
      <c r="R24" s="96"/>
    </row>
    <row r="25" spans="1:18" ht="16.5">
      <c r="A25" s="12" t="s">
        <v>189</v>
      </c>
      <c r="B25" s="8" t="s">
        <v>196</v>
      </c>
      <c r="C25" s="49" t="s">
        <v>162</v>
      </c>
      <c r="D25" s="5">
        <f t="shared" si="4"/>
        <v>4004909</v>
      </c>
      <c r="E25" s="9">
        <v>0</v>
      </c>
      <c r="F25" s="59">
        <v>4004909</v>
      </c>
      <c r="G25" s="4">
        <v>0</v>
      </c>
      <c r="H25" s="4">
        <v>0</v>
      </c>
      <c r="I25" s="9">
        <f t="shared" si="17"/>
        <v>706748.64705882338</v>
      </c>
      <c r="J25" s="9">
        <f t="shared" si="18"/>
        <v>706748.64705882338</v>
      </c>
      <c r="K25" s="4">
        <v>0</v>
      </c>
      <c r="L25" s="56">
        <f t="shared" si="19"/>
        <v>706748.64705882338</v>
      </c>
      <c r="M25" s="4">
        <v>0</v>
      </c>
      <c r="N25" s="4">
        <v>0</v>
      </c>
      <c r="O25" s="9">
        <f t="shared" si="20"/>
        <v>4711657.6470588231</v>
      </c>
      <c r="P25" s="48">
        <v>0</v>
      </c>
      <c r="Q25" s="94">
        <f t="shared" si="3"/>
        <v>85</v>
      </c>
      <c r="R25" s="96"/>
    </row>
    <row r="26" spans="1:18" ht="16.5">
      <c r="A26" s="12" t="s">
        <v>190</v>
      </c>
      <c r="B26" s="8" t="s">
        <v>197</v>
      </c>
      <c r="C26" s="49" t="s">
        <v>162</v>
      </c>
      <c r="D26" s="5">
        <f t="shared" si="4"/>
        <v>21453194</v>
      </c>
      <c r="E26" s="9">
        <v>0</v>
      </c>
      <c r="F26" s="5">
        <v>21453194</v>
      </c>
      <c r="G26" s="4">
        <v>0</v>
      </c>
      <c r="H26" s="4">
        <v>0</v>
      </c>
      <c r="I26" s="9">
        <f t="shared" si="17"/>
        <v>3785857.7647058819</v>
      </c>
      <c r="J26" s="9">
        <f t="shared" si="18"/>
        <v>3785857.7647058819</v>
      </c>
      <c r="K26" s="4">
        <v>0</v>
      </c>
      <c r="L26" s="4">
        <f t="shared" si="19"/>
        <v>3785857.7647058819</v>
      </c>
      <c r="M26" s="4">
        <v>0</v>
      </c>
      <c r="N26" s="4">
        <v>0</v>
      </c>
      <c r="O26" s="9">
        <f t="shared" si="20"/>
        <v>25239051.764705881</v>
      </c>
      <c r="P26" s="48">
        <v>0</v>
      </c>
      <c r="Q26" s="94">
        <f t="shared" si="3"/>
        <v>85</v>
      </c>
      <c r="R26" s="96"/>
    </row>
    <row r="27" spans="1:18" ht="16.5">
      <c r="A27" s="12" t="s">
        <v>191</v>
      </c>
      <c r="B27" s="8" t="s">
        <v>198</v>
      </c>
      <c r="C27" s="49" t="s">
        <v>162</v>
      </c>
      <c r="D27" s="5">
        <f t="shared" si="4"/>
        <v>10726597</v>
      </c>
      <c r="E27" s="9">
        <v>0</v>
      </c>
      <c r="F27" s="5">
        <v>10726597</v>
      </c>
      <c r="G27" s="4">
        <v>0</v>
      </c>
      <c r="H27" s="4">
        <v>0</v>
      </c>
      <c r="I27" s="9">
        <f t="shared" si="17"/>
        <v>1892928.882352941</v>
      </c>
      <c r="J27" s="9">
        <f t="shared" si="18"/>
        <v>1892928.882352941</v>
      </c>
      <c r="K27" s="4">
        <v>0</v>
      </c>
      <c r="L27" s="4">
        <f t="shared" si="19"/>
        <v>1892928.882352941</v>
      </c>
      <c r="M27" s="4">
        <v>0</v>
      </c>
      <c r="N27" s="4">
        <v>0</v>
      </c>
      <c r="O27" s="9">
        <f t="shared" si="20"/>
        <v>12619525.882352941</v>
      </c>
      <c r="P27" s="48">
        <v>0</v>
      </c>
      <c r="Q27" s="94">
        <f t="shared" si="3"/>
        <v>85</v>
      </c>
      <c r="R27" s="96"/>
    </row>
    <row r="28" spans="1:18" ht="16.5">
      <c r="A28" s="12" t="s">
        <v>192</v>
      </c>
      <c r="B28" s="8" t="s">
        <v>199</v>
      </c>
      <c r="C28" s="49" t="s">
        <v>162</v>
      </c>
      <c r="D28" s="5">
        <f t="shared" si="4"/>
        <v>8979245</v>
      </c>
      <c r="E28" s="9">
        <v>0</v>
      </c>
      <c r="F28" s="59">
        <v>8979245</v>
      </c>
      <c r="G28" s="4">
        <v>0</v>
      </c>
      <c r="H28" s="4">
        <v>0</v>
      </c>
      <c r="I28" s="9">
        <f t="shared" si="17"/>
        <v>1584572.6470588236</v>
      </c>
      <c r="J28" s="9">
        <f t="shared" si="18"/>
        <v>1584572.6470588236</v>
      </c>
      <c r="K28" s="4">
        <v>0</v>
      </c>
      <c r="L28" s="56">
        <f t="shared" si="19"/>
        <v>1584572.6470588236</v>
      </c>
      <c r="M28" s="4">
        <v>0</v>
      </c>
      <c r="N28" s="4">
        <v>0</v>
      </c>
      <c r="O28" s="9">
        <f t="shared" si="20"/>
        <v>10563817.647058824</v>
      </c>
      <c r="P28" s="48">
        <v>0</v>
      </c>
      <c r="Q28" s="94">
        <f t="shared" si="3"/>
        <v>85</v>
      </c>
      <c r="R28" s="96"/>
    </row>
    <row r="29" spans="1:18" ht="16.5">
      <c r="A29" s="12" t="s">
        <v>193</v>
      </c>
      <c r="B29" s="8" t="s">
        <v>199</v>
      </c>
      <c r="C29" s="49" t="s">
        <v>162</v>
      </c>
      <c r="D29" s="5">
        <f t="shared" si="4"/>
        <v>3212271</v>
      </c>
      <c r="E29" s="9">
        <v>0</v>
      </c>
      <c r="F29" s="59">
        <v>3212271</v>
      </c>
      <c r="G29" s="4">
        <v>0</v>
      </c>
      <c r="H29" s="4">
        <v>0</v>
      </c>
      <c r="I29" s="9">
        <f t="shared" si="17"/>
        <v>566871.35294117639</v>
      </c>
      <c r="J29" s="9">
        <f t="shared" si="18"/>
        <v>566871.35294117639</v>
      </c>
      <c r="K29" s="4">
        <v>0</v>
      </c>
      <c r="L29" s="56">
        <f t="shared" si="19"/>
        <v>566871.35294117639</v>
      </c>
      <c r="M29" s="4">
        <v>0</v>
      </c>
      <c r="N29" s="4">
        <v>0</v>
      </c>
      <c r="O29" s="9">
        <f t="shared" si="20"/>
        <v>3779142.3529411764</v>
      </c>
      <c r="P29" s="48">
        <v>0</v>
      </c>
      <c r="Q29" s="94">
        <f t="shared" si="3"/>
        <v>85</v>
      </c>
      <c r="R29" s="96"/>
    </row>
    <row r="30" spans="1:18" ht="16.5">
      <c r="A30" s="73" t="s">
        <v>265</v>
      </c>
      <c r="B30" s="74" t="s">
        <v>195</v>
      </c>
      <c r="C30" s="75" t="s">
        <v>162</v>
      </c>
      <c r="D30" s="5">
        <f t="shared" si="4"/>
        <v>1777115</v>
      </c>
      <c r="E30" s="58"/>
      <c r="F30" s="59">
        <v>1777115</v>
      </c>
      <c r="G30" s="56"/>
      <c r="H30" s="56"/>
      <c r="I30" s="58">
        <f t="shared" ref="I30:I32" si="21">(J30+N30)</f>
        <v>313608.52941176476</v>
      </c>
      <c r="J30" s="58">
        <f t="shared" ref="J30:J32" si="22">K30+L30+M30</f>
        <v>313608.52941176476</v>
      </c>
      <c r="K30" s="56">
        <v>0</v>
      </c>
      <c r="L30" s="56">
        <f t="shared" ref="L30:L32" si="23">F30*100/85*15/100-K30-N30</f>
        <v>313608.52941176476</v>
      </c>
      <c r="M30" s="56">
        <v>0</v>
      </c>
      <c r="N30" s="56">
        <v>0</v>
      </c>
      <c r="O30" s="58">
        <f t="shared" ref="O30:O32" si="24">D30+I30</f>
        <v>2090723.5294117648</v>
      </c>
      <c r="P30" s="101">
        <v>0</v>
      </c>
      <c r="Q30" s="94">
        <f t="shared" si="3"/>
        <v>85</v>
      </c>
      <c r="R30" s="96"/>
    </row>
    <row r="31" spans="1:18" ht="16.5">
      <c r="A31" s="73" t="s">
        <v>266</v>
      </c>
      <c r="B31" s="74" t="s">
        <v>196</v>
      </c>
      <c r="C31" s="75" t="s">
        <v>162</v>
      </c>
      <c r="D31" s="5">
        <f t="shared" si="4"/>
        <v>2870574</v>
      </c>
      <c r="E31" s="58"/>
      <c r="F31" s="59">
        <v>2870574</v>
      </c>
      <c r="G31" s="56"/>
      <c r="H31" s="56"/>
      <c r="I31" s="58">
        <f t="shared" si="21"/>
        <v>506571.8823529412</v>
      </c>
      <c r="J31" s="58">
        <f t="shared" si="22"/>
        <v>506571.8823529412</v>
      </c>
      <c r="K31" s="56">
        <v>0</v>
      </c>
      <c r="L31" s="56">
        <f t="shared" si="23"/>
        <v>506571.8823529412</v>
      </c>
      <c r="M31" s="56">
        <v>0</v>
      </c>
      <c r="N31" s="56">
        <v>0</v>
      </c>
      <c r="O31" s="58">
        <f t="shared" si="24"/>
        <v>3377145.8823529412</v>
      </c>
      <c r="P31" s="101">
        <v>0</v>
      </c>
      <c r="Q31" s="94">
        <f t="shared" si="3"/>
        <v>85</v>
      </c>
      <c r="R31" s="96"/>
    </row>
    <row r="32" spans="1:18" ht="16.5">
      <c r="A32" s="73" t="s">
        <v>267</v>
      </c>
      <c r="B32" s="74" t="s">
        <v>199</v>
      </c>
      <c r="C32" s="75" t="s">
        <v>162</v>
      </c>
      <c r="D32" s="5">
        <f t="shared" si="4"/>
        <v>2825720</v>
      </c>
      <c r="E32" s="58"/>
      <c r="F32" s="59">
        <v>2825720</v>
      </c>
      <c r="G32" s="56"/>
      <c r="H32" s="56"/>
      <c r="I32" s="58">
        <f t="shared" si="21"/>
        <v>498656.47058823524</v>
      </c>
      <c r="J32" s="58">
        <f t="shared" si="22"/>
        <v>498656.47058823524</v>
      </c>
      <c r="K32" s="56">
        <v>0</v>
      </c>
      <c r="L32" s="56">
        <f t="shared" si="23"/>
        <v>498656.47058823524</v>
      </c>
      <c r="M32" s="56">
        <v>0</v>
      </c>
      <c r="N32" s="56">
        <v>0</v>
      </c>
      <c r="O32" s="58">
        <f t="shared" si="24"/>
        <v>3324376.4705882352</v>
      </c>
      <c r="P32" s="101">
        <v>0</v>
      </c>
      <c r="Q32" s="94">
        <f t="shared" si="3"/>
        <v>85</v>
      </c>
      <c r="R32" s="96"/>
    </row>
    <row r="33" spans="1:18" s="40" customFormat="1" ht="16.5">
      <c r="A33" s="37" t="s">
        <v>230</v>
      </c>
      <c r="B33" s="36"/>
      <c r="C33" s="49" t="s">
        <v>162</v>
      </c>
      <c r="D33" s="34">
        <f>D34+D35</f>
        <v>48683001</v>
      </c>
      <c r="E33" s="34">
        <f t="shared" ref="E33:H33" si="25">E34+E35</f>
        <v>0</v>
      </c>
      <c r="F33" s="34">
        <f t="shared" si="25"/>
        <v>48683001</v>
      </c>
      <c r="G33" s="34">
        <f t="shared" si="25"/>
        <v>0</v>
      </c>
      <c r="H33" s="34">
        <f t="shared" si="25"/>
        <v>0</v>
      </c>
      <c r="I33" s="34">
        <f t="shared" ref="I33" si="26">I34+I35</f>
        <v>8591117.8235294111</v>
      </c>
      <c r="J33" s="34">
        <f t="shared" ref="J33" si="27">J34+J35</f>
        <v>8591117.8235294111</v>
      </c>
      <c r="K33" s="34">
        <f t="shared" ref="K33" si="28">K34+K35</f>
        <v>0</v>
      </c>
      <c r="L33" s="34">
        <f t="shared" ref="L33" si="29">L34+L35</f>
        <v>8591117.8235294111</v>
      </c>
      <c r="M33" s="34">
        <f t="shared" ref="M33" si="30">M34+M35</f>
        <v>0</v>
      </c>
      <c r="N33" s="34">
        <f t="shared" ref="N33" si="31">N34+N35</f>
        <v>0</v>
      </c>
      <c r="O33" s="34">
        <f t="shared" ref="O33" si="32">O34+O35</f>
        <v>57274118.823529407</v>
      </c>
      <c r="P33" s="34">
        <f t="shared" ref="P33" si="33">P34+P35</f>
        <v>0</v>
      </c>
      <c r="Q33" s="94">
        <f t="shared" si="3"/>
        <v>85</v>
      </c>
      <c r="R33" s="95"/>
    </row>
    <row r="34" spans="1:18" ht="16.5">
      <c r="A34" s="12" t="s">
        <v>113</v>
      </c>
      <c r="B34" s="8" t="s">
        <v>200</v>
      </c>
      <c r="C34" s="49" t="s">
        <v>162</v>
      </c>
      <c r="D34" s="5">
        <f t="shared" si="4"/>
        <v>25808833</v>
      </c>
      <c r="E34" s="9">
        <v>0</v>
      </c>
      <c r="F34" s="59">
        <v>25808833</v>
      </c>
      <c r="G34" s="4">
        <v>0</v>
      </c>
      <c r="H34" s="4">
        <v>0</v>
      </c>
      <c r="I34" s="9">
        <f t="shared" si="17"/>
        <v>4554499.9411764704</v>
      </c>
      <c r="J34" s="9">
        <f t="shared" si="18"/>
        <v>4554499.9411764704</v>
      </c>
      <c r="K34" s="4">
        <v>0</v>
      </c>
      <c r="L34" s="4">
        <f t="shared" ref="L34:L35" si="34">F34*100/85*15/100-K34-N34</f>
        <v>4554499.9411764704</v>
      </c>
      <c r="M34" s="4">
        <v>0</v>
      </c>
      <c r="N34" s="4">
        <v>0</v>
      </c>
      <c r="O34" s="9">
        <f t="shared" ref="O34:O35" si="35">D34+I34</f>
        <v>30363332.94117647</v>
      </c>
      <c r="P34" s="48">
        <v>0</v>
      </c>
      <c r="Q34" s="94">
        <f t="shared" si="3"/>
        <v>85</v>
      </c>
      <c r="R34" s="96"/>
    </row>
    <row r="35" spans="1:18" ht="16.5">
      <c r="A35" s="12" t="s">
        <v>115</v>
      </c>
      <c r="B35" s="8" t="s">
        <v>200</v>
      </c>
      <c r="C35" s="49" t="s">
        <v>162</v>
      </c>
      <c r="D35" s="5">
        <f t="shared" si="4"/>
        <v>22874168</v>
      </c>
      <c r="E35" s="5">
        <v>0</v>
      </c>
      <c r="F35" s="59">
        <v>22874168</v>
      </c>
      <c r="G35" s="5">
        <v>0</v>
      </c>
      <c r="H35" s="5">
        <v>0</v>
      </c>
      <c r="I35" s="9">
        <f t="shared" si="17"/>
        <v>4036617.8823529412</v>
      </c>
      <c r="J35" s="9">
        <f t="shared" si="18"/>
        <v>4036617.8823529412</v>
      </c>
      <c r="K35" s="4">
        <v>0</v>
      </c>
      <c r="L35" s="56">
        <f t="shared" si="34"/>
        <v>4036617.8823529412</v>
      </c>
      <c r="M35" s="4">
        <v>0</v>
      </c>
      <c r="N35" s="4">
        <v>0</v>
      </c>
      <c r="O35" s="9">
        <f t="shared" si="35"/>
        <v>26910785.882352941</v>
      </c>
      <c r="P35" s="48">
        <v>0</v>
      </c>
      <c r="Q35" s="94">
        <f t="shared" si="3"/>
        <v>85</v>
      </c>
      <c r="R35" s="96"/>
    </row>
    <row r="36" spans="1:18" ht="16.5">
      <c r="A36" s="12" t="s">
        <v>120</v>
      </c>
      <c r="B36" s="8" t="s">
        <v>200</v>
      </c>
      <c r="C36" s="49" t="s">
        <v>162</v>
      </c>
      <c r="D36" s="5">
        <f t="shared" si="4"/>
        <v>16395371</v>
      </c>
      <c r="E36" s="5"/>
      <c r="F36" s="59">
        <v>16395371</v>
      </c>
      <c r="G36" s="5"/>
      <c r="H36" s="5"/>
      <c r="I36" s="9">
        <f t="shared" ref="I36" si="36">(J36+N36)</f>
        <v>2893300.7647058819</v>
      </c>
      <c r="J36" s="9">
        <f t="shared" ref="J36" si="37">K36+L36+M36</f>
        <v>2893300.7647058819</v>
      </c>
      <c r="K36" s="4">
        <v>0</v>
      </c>
      <c r="L36" s="56">
        <f t="shared" ref="L36" si="38">F36*100/85*15/100-K36-N36</f>
        <v>2893300.7647058819</v>
      </c>
      <c r="M36" s="4">
        <v>0</v>
      </c>
      <c r="N36" s="4">
        <v>0</v>
      </c>
      <c r="O36" s="9">
        <f t="shared" ref="O36" si="39">D36+I36</f>
        <v>19288671.764705881</v>
      </c>
      <c r="P36" s="48">
        <v>0</v>
      </c>
      <c r="Q36" s="94"/>
      <c r="R36" s="96"/>
    </row>
    <row r="37" spans="1:18" s="40" customFormat="1" ht="16.5">
      <c r="A37" s="37" t="s">
        <v>231</v>
      </c>
      <c r="B37" s="36"/>
      <c r="C37" s="49" t="s">
        <v>162</v>
      </c>
      <c r="D37" s="34">
        <f>D38+D39</f>
        <v>111646307</v>
      </c>
      <c r="E37" s="34">
        <f t="shared" ref="E37:H37" si="40">E38+E39</f>
        <v>0</v>
      </c>
      <c r="F37" s="34">
        <f t="shared" si="40"/>
        <v>111646307</v>
      </c>
      <c r="G37" s="34">
        <f t="shared" si="40"/>
        <v>0</v>
      </c>
      <c r="H37" s="34">
        <f t="shared" si="40"/>
        <v>0</v>
      </c>
      <c r="I37" s="34">
        <f t="shared" ref="I37" si="41">I38+I39</f>
        <v>19702289.470588237</v>
      </c>
      <c r="J37" s="34">
        <f t="shared" ref="J37" si="42">J38+J39</f>
        <v>19702289.470588237</v>
      </c>
      <c r="K37" s="34">
        <f t="shared" ref="K37" si="43">K38+K39</f>
        <v>0</v>
      </c>
      <c r="L37" s="34">
        <f t="shared" ref="L37" si="44">L38+L39</f>
        <v>19702289.470588237</v>
      </c>
      <c r="M37" s="34">
        <f t="shared" ref="M37" si="45">M38+M39</f>
        <v>0</v>
      </c>
      <c r="N37" s="34">
        <f t="shared" ref="N37" si="46">N38+N39</f>
        <v>0</v>
      </c>
      <c r="O37" s="34">
        <f t="shared" ref="O37" si="47">O38+O39</f>
        <v>131348596.47058824</v>
      </c>
      <c r="P37" s="34">
        <f t="shared" ref="P37" si="48">P38+P39</f>
        <v>0</v>
      </c>
      <c r="Q37" s="94">
        <f t="shared" si="3"/>
        <v>85</v>
      </c>
      <c r="R37" s="95"/>
    </row>
    <row r="38" spans="1:18" ht="16.5">
      <c r="A38" s="12" t="s">
        <v>98</v>
      </c>
      <c r="B38" s="8" t="s">
        <v>201</v>
      </c>
      <c r="C38" s="49" t="s">
        <v>162</v>
      </c>
      <c r="D38" s="5">
        <f t="shared" si="4"/>
        <v>75375132</v>
      </c>
      <c r="E38" s="9">
        <v>0</v>
      </c>
      <c r="F38" s="5">
        <v>75375132</v>
      </c>
      <c r="G38" s="4">
        <v>0</v>
      </c>
      <c r="H38" s="4">
        <v>0</v>
      </c>
      <c r="I38" s="9">
        <f t="shared" si="17"/>
        <v>13301493.882352943</v>
      </c>
      <c r="J38" s="9">
        <f t="shared" si="18"/>
        <v>13301493.882352943</v>
      </c>
      <c r="K38" s="4">
        <v>0</v>
      </c>
      <c r="L38" s="4">
        <f t="shared" ref="L38:L39" si="49">F38*100/85*15/100-K38-N38</f>
        <v>13301493.882352943</v>
      </c>
      <c r="M38" s="4">
        <v>0</v>
      </c>
      <c r="N38" s="4">
        <v>0</v>
      </c>
      <c r="O38" s="9">
        <f t="shared" ref="O38:O39" si="50">D38+I38</f>
        <v>88676625.882352948</v>
      </c>
      <c r="P38" s="48">
        <v>0</v>
      </c>
      <c r="Q38" s="94">
        <f t="shared" si="3"/>
        <v>85</v>
      </c>
      <c r="R38" s="96"/>
    </row>
    <row r="39" spans="1:18" ht="16.5">
      <c r="A39" s="12" t="s">
        <v>101</v>
      </c>
      <c r="B39" s="8" t="s">
        <v>201</v>
      </c>
      <c r="C39" s="49" t="s">
        <v>162</v>
      </c>
      <c r="D39" s="5">
        <f t="shared" si="4"/>
        <v>36271175</v>
      </c>
      <c r="E39" s="9">
        <v>0</v>
      </c>
      <c r="F39" s="5">
        <v>36271175</v>
      </c>
      <c r="G39" s="4">
        <v>0</v>
      </c>
      <c r="H39" s="4">
        <v>0</v>
      </c>
      <c r="I39" s="9">
        <f t="shared" si="17"/>
        <v>6400795.5882352944</v>
      </c>
      <c r="J39" s="9">
        <f t="shared" si="18"/>
        <v>6400795.5882352944</v>
      </c>
      <c r="K39" s="4">
        <v>0</v>
      </c>
      <c r="L39" s="4">
        <f t="shared" si="49"/>
        <v>6400795.5882352944</v>
      </c>
      <c r="M39" s="4">
        <v>0</v>
      </c>
      <c r="N39" s="4">
        <v>0</v>
      </c>
      <c r="O39" s="9">
        <f t="shared" si="50"/>
        <v>42671970.588235296</v>
      </c>
      <c r="P39" s="48">
        <v>0</v>
      </c>
      <c r="Q39" s="94">
        <f t="shared" si="3"/>
        <v>85</v>
      </c>
      <c r="R39" s="96"/>
    </row>
    <row r="40" spans="1:18" s="40" customFormat="1" ht="16.5">
      <c r="A40" s="37" t="s">
        <v>232</v>
      </c>
      <c r="B40" s="36"/>
      <c r="C40" s="49" t="s">
        <v>162</v>
      </c>
      <c r="D40" s="34">
        <f>D41+D42+D43+D44</f>
        <v>73659388</v>
      </c>
      <c r="E40" s="34">
        <f t="shared" ref="E40:H40" si="51">E41+E42+E43+E44</f>
        <v>0</v>
      </c>
      <c r="F40" s="34">
        <f t="shared" si="51"/>
        <v>73659388</v>
      </c>
      <c r="G40" s="34">
        <f t="shared" si="51"/>
        <v>0</v>
      </c>
      <c r="H40" s="34">
        <f t="shared" si="51"/>
        <v>0</v>
      </c>
      <c r="I40" s="34">
        <f t="shared" ref="I40" si="52">I41+I42+I43+I44</f>
        <v>12998715.529411765</v>
      </c>
      <c r="J40" s="34">
        <f t="shared" ref="J40" si="53">J41+J42+J43+J44</f>
        <v>12998715.529411765</v>
      </c>
      <c r="K40" s="34">
        <f t="shared" ref="K40" si="54">K41+K42+K43+K44</f>
        <v>0</v>
      </c>
      <c r="L40" s="34">
        <f t="shared" ref="L40" si="55">L41+L42+L43+L44</f>
        <v>12998715.529411765</v>
      </c>
      <c r="M40" s="34">
        <f t="shared" ref="M40" si="56">M41+M42+M43+M44</f>
        <v>0</v>
      </c>
      <c r="N40" s="34">
        <f t="shared" ref="N40" si="57">N41+N42+N43+N44</f>
        <v>0</v>
      </c>
      <c r="O40" s="34">
        <f t="shared" ref="O40" si="58">O41+O42+O43+O44</f>
        <v>86658103.529411763</v>
      </c>
      <c r="P40" s="34">
        <f t="shared" ref="P40" si="59">P41+P42+P43+P44</f>
        <v>0</v>
      </c>
      <c r="Q40" s="94">
        <f t="shared" si="3"/>
        <v>85</v>
      </c>
      <c r="R40" s="95"/>
    </row>
    <row r="41" spans="1:18" ht="16.5">
      <c r="A41" s="12" t="s">
        <v>91</v>
      </c>
      <c r="B41" s="8" t="s">
        <v>202</v>
      </c>
      <c r="C41" s="49" t="s">
        <v>162</v>
      </c>
      <c r="D41" s="5">
        <f t="shared" si="4"/>
        <v>11227893</v>
      </c>
      <c r="E41" s="9">
        <v>0</v>
      </c>
      <c r="F41" s="5">
        <v>11227893</v>
      </c>
      <c r="G41" s="4">
        <v>0</v>
      </c>
      <c r="H41" s="4">
        <v>0</v>
      </c>
      <c r="I41" s="9">
        <f t="shared" si="17"/>
        <v>1981392.882352941</v>
      </c>
      <c r="J41" s="9">
        <f t="shared" si="18"/>
        <v>1981392.882352941</v>
      </c>
      <c r="K41" s="4">
        <v>0</v>
      </c>
      <c r="L41" s="4">
        <f t="shared" ref="L41:L44" si="60">F41*100/85*15/100-K41-N41</f>
        <v>1981392.882352941</v>
      </c>
      <c r="M41" s="4">
        <v>0</v>
      </c>
      <c r="N41" s="4">
        <v>0</v>
      </c>
      <c r="O41" s="9">
        <f t="shared" ref="O41:O44" si="61">D41+I41</f>
        <v>13209285.882352941</v>
      </c>
      <c r="P41" s="48">
        <v>0</v>
      </c>
      <c r="Q41" s="94">
        <f t="shared" si="3"/>
        <v>85</v>
      </c>
      <c r="R41" s="96"/>
    </row>
    <row r="42" spans="1:18" ht="16.5">
      <c r="A42" s="12" t="s">
        <v>93</v>
      </c>
      <c r="B42" s="8" t="s">
        <v>206</v>
      </c>
      <c r="C42" s="49" t="s">
        <v>162</v>
      </c>
      <c r="D42" s="5">
        <f t="shared" si="4"/>
        <v>11227893</v>
      </c>
      <c r="E42" s="9">
        <v>0</v>
      </c>
      <c r="F42" s="5">
        <v>11227893</v>
      </c>
      <c r="G42" s="4">
        <v>0</v>
      </c>
      <c r="H42" s="4">
        <v>0</v>
      </c>
      <c r="I42" s="9">
        <f t="shared" si="17"/>
        <v>1981392.882352941</v>
      </c>
      <c r="J42" s="9">
        <f t="shared" si="18"/>
        <v>1981392.882352941</v>
      </c>
      <c r="K42" s="4">
        <v>0</v>
      </c>
      <c r="L42" s="4">
        <f t="shared" si="60"/>
        <v>1981392.882352941</v>
      </c>
      <c r="M42" s="4">
        <v>0</v>
      </c>
      <c r="N42" s="4">
        <v>0</v>
      </c>
      <c r="O42" s="9">
        <f t="shared" si="61"/>
        <v>13209285.882352941</v>
      </c>
      <c r="P42" s="48">
        <v>0</v>
      </c>
      <c r="Q42" s="94">
        <f t="shared" si="3"/>
        <v>85</v>
      </c>
      <c r="R42" s="96"/>
    </row>
    <row r="43" spans="1:18" ht="16.5">
      <c r="A43" s="12" t="s">
        <v>203</v>
      </c>
      <c r="B43" s="8" t="s">
        <v>207</v>
      </c>
      <c r="C43" s="49" t="s">
        <v>162</v>
      </c>
      <c r="D43" s="5">
        <f t="shared" si="4"/>
        <v>42787663</v>
      </c>
      <c r="E43" s="9">
        <v>0</v>
      </c>
      <c r="F43" s="5">
        <v>42787663</v>
      </c>
      <c r="G43" s="4">
        <v>0</v>
      </c>
      <c r="H43" s="4">
        <v>0</v>
      </c>
      <c r="I43" s="9">
        <f t="shared" si="17"/>
        <v>7550764.0588235287</v>
      </c>
      <c r="J43" s="9">
        <f t="shared" si="18"/>
        <v>7550764.0588235287</v>
      </c>
      <c r="K43" s="4">
        <v>0</v>
      </c>
      <c r="L43" s="4">
        <f t="shared" si="60"/>
        <v>7550764.0588235287</v>
      </c>
      <c r="M43" s="4">
        <v>0</v>
      </c>
      <c r="N43" s="4">
        <v>0</v>
      </c>
      <c r="O43" s="9">
        <f t="shared" si="61"/>
        <v>50338427.058823526</v>
      </c>
      <c r="P43" s="48">
        <v>0</v>
      </c>
      <c r="Q43" s="94">
        <f t="shared" si="3"/>
        <v>85</v>
      </c>
      <c r="R43" s="96">
        <v>1225008.3529411766</v>
      </c>
    </row>
    <row r="44" spans="1:18" ht="16.5">
      <c r="A44" s="12" t="s">
        <v>204</v>
      </c>
      <c r="B44" s="8" t="s">
        <v>208</v>
      </c>
      <c r="C44" s="49" t="s">
        <v>162</v>
      </c>
      <c r="D44" s="5">
        <f t="shared" si="4"/>
        <v>8415939</v>
      </c>
      <c r="E44" s="9">
        <v>0</v>
      </c>
      <c r="F44" s="5">
        <v>8415939</v>
      </c>
      <c r="G44" s="4">
        <v>0</v>
      </c>
      <c r="H44" s="4">
        <v>0</v>
      </c>
      <c r="I44" s="9">
        <f t="shared" si="17"/>
        <v>1485165.7058823532</v>
      </c>
      <c r="J44" s="9">
        <f t="shared" si="18"/>
        <v>1485165.7058823532</v>
      </c>
      <c r="K44" s="4">
        <v>0</v>
      </c>
      <c r="L44" s="4">
        <f t="shared" si="60"/>
        <v>1485165.7058823532</v>
      </c>
      <c r="M44" s="4">
        <v>0</v>
      </c>
      <c r="N44" s="4">
        <v>0</v>
      </c>
      <c r="O44" s="9">
        <f t="shared" si="61"/>
        <v>9901104.7058823537</v>
      </c>
      <c r="P44" s="48">
        <v>0</v>
      </c>
      <c r="Q44" s="94">
        <f t="shared" si="3"/>
        <v>85</v>
      </c>
      <c r="R44" s="97">
        <v>1147058.8235294118</v>
      </c>
    </row>
    <row r="45" spans="1:18" s="40" customFormat="1" ht="16.5">
      <c r="A45" s="37" t="s">
        <v>233</v>
      </c>
      <c r="B45" s="36"/>
      <c r="C45" s="49" t="s">
        <v>162</v>
      </c>
      <c r="D45" s="35">
        <f>D46+D47+D48+D49+D50+D51+D52+D53+D54+D55+D56+D57+D58+D59+D60+D61</f>
        <v>239187565</v>
      </c>
      <c r="E45" s="35">
        <f t="shared" ref="E45:P45" si="62">E46+E47+E48+E49+E50+E51+E52+E53+E54+E55+E56+E57+E58+E59+E60+E61</f>
        <v>0</v>
      </c>
      <c r="F45" s="35">
        <f t="shared" si="62"/>
        <v>0</v>
      </c>
      <c r="G45" s="35">
        <f t="shared" si="62"/>
        <v>239187565</v>
      </c>
      <c r="H45" s="35">
        <f t="shared" si="62"/>
        <v>0</v>
      </c>
      <c r="I45" s="35">
        <f t="shared" si="62"/>
        <v>42209570.294117644</v>
      </c>
      <c r="J45" s="35">
        <f t="shared" si="62"/>
        <v>42209570.294117644</v>
      </c>
      <c r="K45" s="35">
        <f t="shared" si="62"/>
        <v>0</v>
      </c>
      <c r="L45" s="35">
        <f t="shared" si="62"/>
        <v>38380158.52941177</v>
      </c>
      <c r="M45" s="35">
        <f t="shared" si="62"/>
        <v>3829411.7647058819</v>
      </c>
      <c r="N45" s="35">
        <f t="shared" si="62"/>
        <v>0</v>
      </c>
      <c r="O45" s="35">
        <f t="shared" si="62"/>
        <v>281397135.29411769</v>
      </c>
      <c r="P45" s="35">
        <f t="shared" si="62"/>
        <v>0</v>
      </c>
      <c r="Q45" s="94">
        <f t="shared" si="3"/>
        <v>84.999999999999986</v>
      </c>
      <c r="R45" s="95"/>
    </row>
    <row r="46" spans="1:18" ht="16.5">
      <c r="A46" s="12" t="s">
        <v>46</v>
      </c>
      <c r="B46" s="8" t="s">
        <v>216</v>
      </c>
      <c r="C46" s="49" t="s">
        <v>162</v>
      </c>
      <c r="D46" s="5">
        <f t="shared" si="4"/>
        <v>21700000</v>
      </c>
      <c r="E46" s="9">
        <v>0</v>
      </c>
      <c r="F46" s="4">
        <v>0</v>
      </c>
      <c r="G46" s="4">
        <v>21700000</v>
      </c>
      <c r="H46" s="4">
        <v>0</v>
      </c>
      <c r="I46" s="9">
        <f t="shared" si="17"/>
        <v>3829411.7647058819</v>
      </c>
      <c r="J46" s="9">
        <f t="shared" si="18"/>
        <v>3829411.7647058819</v>
      </c>
      <c r="K46" s="4">
        <v>0</v>
      </c>
      <c r="L46" s="4">
        <f>D46*100/85*15/100-K46-M46-N46</f>
        <v>0</v>
      </c>
      <c r="M46" s="4">
        <v>3829411.7647058819</v>
      </c>
      <c r="N46" s="4">
        <v>0</v>
      </c>
      <c r="O46" s="9">
        <f t="shared" ref="O46" si="63">D46+I46</f>
        <v>25529411.764705881</v>
      </c>
      <c r="P46" s="48">
        <v>0</v>
      </c>
      <c r="Q46" s="94">
        <f t="shared" si="3"/>
        <v>85</v>
      </c>
      <c r="R46" s="96"/>
    </row>
    <row r="47" spans="1:18" ht="16.5">
      <c r="A47" s="12" t="s">
        <v>48</v>
      </c>
      <c r="B47" s="8" t="s">
        <v>216</v>
      </c>
      <c r="C47" s="49" t="s">
        <v>162</v>
      </c>
      <c r="D47" s="5">
        <f t="shared" si="4"/>
        <v>5242625</v>
      </c>
      <c r="E47" s="9">
        <v>0</v>
      </c>
      <c r="F47" s="4">
        <v>0</v>
      </c>
      <c r="G47" s="4">
        <v>5242625</v>
      </c>
      <c r="H47" s="4">
        <v>0</v>
      </c>
      <c r="I47" s="9">
        <f t="shared" si="17"/>
        <v>925169.11764705891</v>
      </c>
      <c r="J47" s="9">
        <f t="shared" si="18"/>
        <v>925169.11764705891</v>
      </c>
      <c r="K47" s="4">
        <v>0</v>
      </c>
      <c r="L47" s="4">
        <f t="shared" ref="L47:L59" si="64">D47*100/85*15/100-K47-N47</f>
        <v>925169.11764705891</v>
      </c>
      <c r="M47" s="4">
        <v>0</v>
      </c>
      <c r="N47" s="4">
        <v>0</v>
      </c>
      <c r="O47" s="9">
        <f t="shared" ref="O47:O59" si="65">D47+I47</f>
        <v>6167794.1176470593</v>
      </c>
      <c r="P47" s="48">
        <v>0</v>
      </c>
      <c r="Q47" s="94">
        <f t="shared" si="3"/>
        <v>85</v>
      </c>
      <c r="R47" s="96"/>
    </row>
    <row r="48" spans="1:18" ht="16.5">
      <c r="A48" s="12" t="s">
        <v>49</v>
      </c>
      <c r="B48" s="8" t="s">
        <v>217</v>
      </c>
      <c r="C48" s="49" t="s">
        <v>162</v>
      </c>
      <c r="D48" s="5">
        <f t="shared" si="4"/>
        <v>28952960</v>
      </c>
      <c r="E48" s="9">
        <v>0</v>
      </c>
      <c r="F48" s="5">
        <f>F49+F50</f>
        <v>0</v>
      </c>
      <c r="G48" s="5">
        <v>28952960</v>
      </c>
      <c r="H48" s="5">
        <v>0</v>
      </c>
      <c r="I48" s="9">
        <f t="shared" si="17"/>
        <v>5109345.8823529407</v>
      </c>
      <c r="J48" s="9">
        <f t="shared" si="18"/>
        <v>5109345.8823529407</v>
      </c>
      <c r="K48" s="4">
        <v>0</v>
      </c>
      <c r="L48" s="4">
        <f t="shared" si="64"/>
        <v>5109345.8823529407</v>
      </c>
      <c r="M48" s="4">
        <v>0</v>
      </c>
      <c r="N48" s="4">
        <v>0</v>
      </c>
      <c r="O48" s="9">
        <f t="shared" si="65"/>
        <v>34062305.882352941</v>
      </c>
      <c r="P48" s="48">
        <v>0</v>
      </c>
      <c r="Q48" s="94">
        <f t="shared" si="3"/>
        <v>85</v>
      </c>
      <c r="R48" s="96"/>
    </row>
    <row r="49" spans="1:18" ht="16.5">
      <c r="A49" s="12" t="s">
        <v>51</v>
      </c>
      <c r="B49" s="8" t="s">
        <v>218</v>
      </c>
      <c r="C49" s="49" t="s">
        <v>162</v>
      </c>
      <c r="D49" s="5">
        <f t="shared" si="4"/>
        <v>6628201</v>
      </c>
      <c r="E49" s="9">
        <v>0</v>
      </c>
      <c r="F49" s="4">
        <v>0</v>
      </c>
      <c r="G49" s="56">
        <v>6628201</v>
      </c>
      <c r="H49" s="4">
        <v>0</v>
      </c>
      <c r="I49" s="9">
        <f t="shared" si="17"/>
        <v>1169682.5294117648</v>
      </c>
      <c r="J49" s="9">
        <f t="shared" si="18"/>
        <v>1169682.5294117648</v>
      </c>
      <c r="K49" s="4">
        <v>0</v>
      </c>
      <c r="L49" s="56">
        <f t="shared" si="64"/>
        <v>1169682.5294117648</v>
      </c>
      <c r="M49" s="4">
        <v>0</v>
      </c>
      <c r="N49" s="4">
        <v>0</v>
      </c>
      <c r="O49" s="9">
        <f t="shared" si="65"/>
        <v>7797883.5294117648</v>
      </c>
      <c r="P49" s="48">
        <v>0</v>
      </c>
      <c r="Q49" s="94">
        <f t="shared" si="3"/>
        <v>85</v>
      </c>
      <c r="R49" s="96"/>
    </row>
    <row r="50" spans="1:18" ht="16.5">
      <c r="A50" s="12" t="s">
        <v>53</v>
      </c>
      <c r="B50" s="8" t="s">
        <v>218</v>
      </c>
      <c r="C50" s="49" t="s">
        <v>162</v>
      </c>
      <c r="D50" s="5">
        <f t="shared" si="4"/>
        <v>27439935</v>
      </c>
      <c r="E50" s="9">
        <v>0</v>
      </c>
      <c r="F50" s="4">
        <v>0</v>
      </c>
      <c r="G50" s="4">
        <v>27439935</v>
      </c>
      <c r="H50" s="4">
        <v>0</v>
      </c>
      <c r="I50" s="9">
        <f t="shared" si="17"/>
        <v>4842341.4705882361</v>
      </c>
      <c r="J50" s="9">
        <f t="shared" si="18"/>
        <v>4842341.4705882361</v>
      </c>
      <c r="K50" s="4">
        <v>0</v>
      </c>
      <c r="L50" s="4">
        <f t="shared" si="64"/>
        <v>4842341.4705882361</v>
      </c>
      <c r="M50" s="4">
        <v>0</v>
      </c>
      <c r="N50" s="4">
        <v>0</v>
      </c>
      <c r="O50" s="9">
        <f t="shared" si="65"/>
        <v>32282276.470588237</v>
      </c>
      <c r="P50" s="48">
        <v>0</v>
      </c>
      <c r="Q50" s="94">
        <f t="shared" si="3"/>
        <v>85</v>
      </c>
      <c r="R50" s="96"/>
    </row>
    <row r="51" spans="1:18" ht="16.5">
      <c r="A51" s="12" t="s">
        <v>55</v>
      </c>
      <c r="B51" s="8" t="s">
        <v>218</v>
      </c>
      <c r="C51" s="49" t="s">
        <v>162</v>
      </c>
      <c r="D51" s="5">
        <f t="shared" si="4"/>
        <v>1000000</v>
      </c>
      <c r="E51" s="9">
        <v>0</v>
      </c>
      <c r="F51" s="4">
        <v>0</v>
      </c>
      <c r="G51" s="4">
        <v>1000000</v>
      </c>
      <c r="H51" s="4">
        <v>0</v>
      </c>
      <c r="I51" s="9">
        <f t="shared" si="17"/>
        <v>176470.58823529416</v>
      </c>
      <c r="J51" s="9">
        <f t="shared" si="18"/>
        <v>176470.58823529416</v>
      </c>
      <c r="K51" s="4">
        <v>0</v>
      </c>
      <c r="L51" s="4">
        <f t="shared" si="64"/>
        <v>176470.58823529416</v>
      </c>
      <c r="M51" s="4">
        <v>0</v>
      </c>
      <c r="N51" s="4">
        <v>0</v>
      </c>
      <c r="O51" s="9">
        <f t="shared" si="65"/>
        <v>1176470.5882352942</v>
      </c>
      <c r="P51" s="48">
        <v>0</v>
      </c>
      <c r="Q51" s="94">
        <f t="shared" si="3"/>
        <v>85</v>
      </c>
      <c r="R51" s="96"/>
    </row>
    <row r="52" spans="1:18" ht="16.5">
      <c r="A52" s="12" t="s">
        <v>56</v>
      </c>
      <c r="B52" s="8" t="s">
        <v>218</v>
      </c>
      <c r="C52" s="49" t="s">
        <v>162</v>
      </c>
      <c r="D52" s="5">
        <f t="shared" si="4"/>
        <v>24755542</v>
      </c>
      <c r="E52" s="9">
        <v>0</v>
      </c>
      <c r="F52" s="4">
        <v>0</v>
      </c>
      <c r="G52" s="56">
        <v>24755542</v>
      </c>
      <c r="H52" s="4">
        <v>0</v>
      </c>
      <c r="I52" s="9">
        <f t="shared" si="17"/>
        <v>4368625.0588235296</v>
      </c>
      <c r="J52" s="9">
        <f t="shared" si="18"/>
        <v>4368625.0588235296</v>
      </c>
      <c r="K52" s="4">
        <v>0</v>
      </c>
      <c r="L52" s="56">
        <f t="shared" si="64"/>
        <v>4368625.0588235296</v>
      </c>
      <c r="M52" s="4">
        <v>0</v>
      </c>
      <c r="N52" s="4">
        <v>0</v>
      </c>
      <c r="O52" s="9">
        <f t="shared" si="65"/>
        <v>29124167.05882353</v>
      </c>
      <c r="P52" s="48">
        <v>0</v>
      </c>
      <c r="Q52" s="94">
        <f t="shared" si="3"/>
        <v>85</v>
      </c>
      <c r="R52" s="96"/>
    </row>
    <row r="53" spans="1:18" ht="16.5">
      <c r="A53" s="12" t="s">
        <v>209</v>
      </c>
      <c r="B53" s="8" t="s">
        <v>219</v>
      </c>
      <c r="C53" s="49" t="s">
        <v>162</v>
      </c>
      <c r="D53" s="5">
        <f t="shared" si="4"/>
        <v>18145617</v>
      </c>
      <c r="E53" s="9">
        <v>0</v>
      </c>
      <c r="F53" s="4">
        <v>0</v>
      </c>
      <c r="G53" s="4">
        <v>18145617</v>
      </c>
      <c r="H53" s="4">
        <v>0</v>
      </c>
      <c r="I53" s="9">
        <f t="shared" si="17"/>
        <v>3202167.7058823528</v>
      </c>
      <c r="J53" s="9">
        <f t="shared" si="18"/>
        <v>3202167.7058823528</v>
      </c>
      <c r="K53" s="4">
        <v>0</v>
      </c>
      <c r="L53" s="4">
        <f t="shared" si="64"/>
        <v>3202167.7058823528</v>
      </c>
      <c r="M53" s="4">
        <v>0</v>
      </c>
      <c r="N53" s="4">
        <v>0</v>
      </c>
      <c r="O53" s="9">
        <f t="shared" si="65"/>
        <v>21347784.705882352</v>
      </c>
      <c r="P53" s="48">
        <v>0</v>
      </c>
      <c r="Q53" s="94">
        <f t="shared" si="3"/>
        <v>85</v>
      </c>
      <c r="R53" s="96"/>
    </row>
    <row r="54" spans="1:18" ht="16.5">
      <c r="A54" s="12" t="s">
        <v>210</v>
      </c>
      <c r="B54" s="8" t="s">
        <v>220</v>
      </c>
      <c r="C54" s="49" t="s">
        <v>162</v>
      </c>
      <c r="D54" s="5">
        <f t="shared" si="4"/>
        <v>3960380</v>
      </c>
      <c r="E54" s="9">
        <v>0</v>
      </c>
      <c r="F54" s="4">
        <v>0</v>
      </c>
      <c r="G54" s="56">
        <v>3960380</v>
      </c>
      <c r="H54" s="4">
        <v>0</v>
      </c>
      <c r="I54" s="9">
        <f t="shared" si="17"/>
        <v>698890.58823529421</v>
      </c>
      <c r="J54" s="9">
        <f t="shared" si="18"/>
        <v>698890.58823529421</v>
      </c>
      <c r="K54" s="4">
        <v>0</v>
      </c>
      <c r="L54" s="56">
        <f t="shared" si="64"/>
        <v>698890.58823529421</v>
      </c>
      <c r="M54" s="4">
        <v>0</v>
      </c>
      <c r="N54" s="4">
        <v>0</v>
      </c>
      <c r="O54" s="9">
        <f t="shared" si="65"/>
        <v>4659270.5882352944</v>
      </c>
      <c r="P54" s="48">
        <v>0</v>
      </c>
      <c r="Q54" s="94">
        <f t="shared" si="3"/>
        <v>85</v>
      </c>
      <c r="R54" s="96"/>
    </row>
    <row r="55" spans="1:18" ht="16.5">
      <c r="A55" s="12" t="s">
        <v>211</v>
      </c>
      <c r="B55" s="8" t="s">
        <v>220</v>
      </c>
      <c r="C55" s="49" t="s">
        <v>162</v>
      </c>
      <c r="D55" s="5">
        <f t="shared" si="4"/>
        <v>14000000</v>
      </c>
      <c r="E55" s="9">
        <v>0</v>
      </c>
      <c r="F55" s="4">
        <v>0</v>
      </c>
      <c r="G55" s="4">
        <v>14000000</v>
      </c>
      <c r="H55" s="4">
        <v>0</v>
      </c>
      <c r="I55" s="9">
        <f t="shared" si="17"/>
        <v>2470588.2352941181</v>
      </c>
      <c r="J55" s="9">
        <f t="shared" si="18"/>
        <v>2470588.2352941181</v>
      </c>
      <c r="K55" s="4">
        <v>0</v>
      </c>
      <c r="L55" s="4">
        <f t="shared" si="64"/>
        <v>2470588.2352941181</v>
      </c>
      <c r="M55" s="4">
        <v>0</v>
      </c>
      <c r="N55" s="4">
        <v>0</v>
      </c>
      <c r="O55" s="9">
        <f t="shared" si="65"/>
        <v>16470588.235294119</v>
      </c>
      <c r="P55" s="48">
        <v>0</v>
      </c>
      <c r="Q55" s="94">
        <f t="shared" si="3"/>
        <v>85</v>
      </c>
      <c r="R55" s="96"/>
    </row>
    <row r="56" spans="1:18" ht="16.5">
      <c r="A56" s="12" t="s">
        <v>212</v>
      </c>
      <c r="B56" s="8" t="s">
        <v>220</v>
      </c>
      <c r="C56" s="49" t="s">
        <v>162</v>
      </c>
      <c r="D56" s="5">
        <f t="shared" si="4"/>
        <v>11658246</v>
      </c>
      <c r="E56" s="9">
        <v>0</v>
      </c>
      <c r="F56" s="4">
        <v>0</v>
      </c>
      <c r="G56" s="56">
        <v>11658246</v>
      </c>
      <c r="H56" s="4">
        <v>0</v>
      </c>
      <c r="I56" s="9">
        <f t="shared" si="17"/>
        <v>2057337.5294117648</v>
      </c>
      <c r="J56" s="9">
        <f t="shared" si="18"/>
        <v>2057337.5294117648</v>
      </c>
      <c r="K56" s="4">
        <v>0</v>
      </c>
      <c r="L56" s="56">
        <f t="shared" si="64"/>
        <v>2057337.5294117648</v>
      </c>
      <c r="M56" s="4">
        <v>0</v>
      </c>
      <c r="N56" s="4">
        <v>0</v>
      </c>
      <c r="O56" s="9">
        <f t="shared" si="65"/>
        <v>13715583.529411765</v>
      </c>
      <c r="P56" s="48">
        <v>0</v>
      </c>
      <c r="Q56" s="94">
        <f t="shared" si="3"/>
        <v>85</v>
      </c>
      <c r="R56" s="96"/>
    </row>
    <row r="57" spans="1:18" ht="16.5">
      <c r="A57" s="12" t="s">
        <v>213</v>
      </c>
      <c r="B57" s="8" t="s">
        <v>205</v>
      </c>
      <c r="C57" s="49" t="s">
        <v>162</v>
      </c>
      <c r="D57" s="5">
        <f t="shared" si="4"/>
        <v>4000000</v>
      </c>
      <c r="E57" s="9">
        <v>0</v>
      </c>
      <c r="F57" s="4">
        <v>0</v>
      </c>
      <c r="G57" s="4">
        <v>4000000</v>
      </c>
      <c r="H57" s="4">
        <v>0</v>
      </c>
      <c r="I57" s="9">
        <f t="shared" si="17"/>
        <v>705882.35294117662</v>
      </c>
      <c r="J57" s="9">
        <f t="shared" si="18"/>
        <v>705882.35294117662</v>
      </c>
      <c r="K57" s="4">
        <v>0</v>
      </c>
      <c r="L57" s="4">
        <f t="shared" si="64"/>
        <v>705882.35294117662</v>
      </c>
      <c r="M57" s="4">
        <v>0</v>
      </c>
      <c r="N57" s="4">
        <v>0</v>
      </c>
      <c r="O57" s="9">
        <f t="shared" si="65"/>
        <v>4705882.3529411769</v>
      </c>
      <c r="P57" s="48">
        <v>0</v>
      </c>
      <c r="Q57" s="94">
        <f t="shared" si="3"/>
        <v>85</v>
      </c>
      <c r="R57" s="96"/>
    </row>
    <row r="58" spans="1:18" ht="16.5">
      <c r="A58" s="12" t="s">
        <v>214</v>
      </c>
      <c r="B58" s="8" t="s">
        <v>221</v>
      </c>
      <c r="C58" s="49" t="s">
        <v>162</v>
      </c>
      <c r="D58" s="5">
        <f t="shared" si="4"/>
        <v>28800000</v>
      </c>
      <c r="E58" s="9">
        <v>0</v>
      </c>
      <c r="F58" s="4">
        <v>0</v>
      </c>
      <c r="G58" s="4">
        <v>28800000</v>
      </c>
      <c r="H58" s="4">
        <v>0</v>
      </c>
      <c r="I58" s="9">
        <f t="shared" si="17"/>
        <v>5082352.9411764713</v>
      </c>
      <c r="J58" s="9">
        <f t="shared" si="18"/>
        <v>5082352.9411764713</v>
      </c>
      <c r="K58" s="4">
        <v>0</v>
      </c>
      <c r="L58" s="4">
        <f t="shared" si="64"/>
        <v>5082352.9411764713</v>
      </c>
      <c r="M58" s="4">
        <v>0</v>
      </c>
      <c r="N58" s="4">
        <v>0</v>
      </c>
      <c r="O58" s="9">
        <f t="shared" si="65"/>
        <v>33882352.941176474</v>
      </c>
      <c r="P58" s="48">
        <v>0</v>
      </c>
      <c r="Q58" s="94">
        <f t="shared" si="3"/>
        <v>84.999999999999986</v>
      </c>
      <c r="R58" s="96"/>
    </row>
    <row r="59" spans="1:18" ht="16.5">
      <c r="A59" s="12" t="s">
        <v>215</v>
      </c>
      <c r="B59" s="8" t="s">
        <v>222</v>
      </c>
      <c r="C59" s="49" t="s">
        <v>162</v>
      </c>
      <c r="D59" s="5">
        <f t="shared" si="4"/>
        <v>19000000</v>
      </c>
      <c r="E59" s="9">
        <v>0</v>
      </c>
      <c r="F59" s="4">
        <v>0</v>
      </c>
      <c r="G59" s="4">
        <v>19000000</v>
      </c>
      <c r="H59" s="4">
        <v>0</v>
      </c>
      <c r="I59" s="9">
        <f t="shared" si="17"/>
        <v>3352941.1764705884</v>
      </c>
      <c r="J59" s="9">
        <f t="shared" si="18"/>
        <v>3352941.1764705884</v>
      </c>
      <c r="K59" s="4">
        <v>0</v>
      </c>
      <c r="L59" s="4">
        <f t="shared" si="64"/>
        <v>3352941.1764705884</v>
      </c>
      <c r="M59" s="4">
        <v>0</v>
      </c>
      <c r="N59" s="4">
        <v>0</v>
      </c>
      <c r="O59" s="9">
        <f t="shared" si="65"/>
        <v>22352941.176470589</v>
      </c>
      <c r="P59" s="48">
        <v>0</v>
      </c>
      <c r="Q59" s="94">
        <f t="shared" si="3"/>
        <v>85</v>
      </c>
      <c r="R59" s="96"/>
    </row>
    <row r="60" spans="1:18" ht="16.5">
      <c r="A60" s="73" t="s">
        <v>268</v>
      </c>
      <c r="B60" s="74" t="s">
        <v>218</v>
      </c>
      <c r="C60" s="75" t="s">
        <v>162</v>
      </c>
      <c r="D60" s="5">
        <f t="shared" ref="D60:D61" si="66">E60+F60+G60+H60</f>
        <v>17730443</v>
      </c>
      <c r="E60" s="9">
        <v>0</v>
      </c>
      <c r="F60" s="4">
        <v>0</v>
      </c>
      <c r="G60" s="56">
        <v>17730443</v>
      </c>
      <c r="H60" s="4">
        <v>0</v>
      </c>
      <c r="I60" s="9">
        <f t="shared" ref="I60:I61" si="67">(J60+N60)</f>
        <v>3128901.7058823528</v>
      </c>
      <c r="J60" s="9">
        <f t="shared" ref="J60:J61" si="68">K60+L60+M60</f>
        <v>3128901.7058823528</v>
      </c>
      <c r="K60" s="4">
        <v>0</v>
      </c>
      <c r="L60" s="56">
        <f t="shared" ref="L60:L61" si="69">D60*100/85*15/100-K60-N60</f>
        <v>3128901.7058823528</v>
      </c>
      <c r="M60" s="4">
        <v>0</v>
      </c>
      <c r="N60" s="4">
        <v>0</v>
      </c>
      <c r="O60" s="9">
        <f t="shared" ref="O60:O61" si="70">D60+I60</f>
        <v>20859344.705882352</v>
      </c>
      <c r="P60" s="48">
        <v>0</v>
      </c>
      <c r="Q60" s="94">
        <f t="shared" si="3"/>
        <v>85</v>
      </c>
      <c r="R60" s="96"/>
    </row>
    <row r="61" spans="1:18" ht="16.5">
      <c r="A61" s="73" t="s">
        <v>269</v>
      </c>
      <c r="B61" s="74" t="s">
        <v>220</v>
      </c>
      <c r="C61" s="75" t="s">
        <v>162</v>
      </c>
      <c r="D61" s="5">
        <f t="shared" si="66"/>
        <v>6173616</v>
      </c>
      <c r="E61" s="9">
        <v>0</v>
      </c>
      <c r="F61" s="4">
        <v>0</v>
      </c>
      <c r="G61" s="56">
        <v>6173616</v>
      </c>
      <c r="H61" s="4">
        <v>0</v>
      </c>
      <c r="I61" s="9">
        <f t="shared" si="67"/>
        <v>1089461.6470588234</v>
      </c>
      <c r="J61" s="9">
        <f t="shared" si="68"/>
        <v>1089461.6470588234</v>
      </c>
      <c r="K61" s="4">
        <v>0</v>
      </c>
      <c r="L61" s="56">
        <f t="shared" si="69"/>
        <v>1089461.6470588234</v>
      </c>
      <c r="M61" s="4">
        <v>0</v>
      </c>
      <c r="N61" s="4">
        <v>0</v>
      </c>
      <c r="O61" s="9">
        <f t="shared" si="70"/>
        <v>7263077.6470588231</v>
      </c>
      <c r="P61" s="48">
        <v>0</v>
      </c>
      <c r="Q61" s="94">
        <f t="shared" si="3"/>
        <v>85</v>
      </c>
      <c r="R61" s="96"/>
    </row>
    <row r="62" spans="1:18" s="40" customFormat="1" ht="16.5">
      <c r="A62" s="37" t="s">
        <v>234</v>
      </c>
      <c r="B62" s="36"/>
      <c r="C62" s="49" t="s">
        <v>162</v>
      </c>
      <c r="D62" s="35">
        <f>D63+D64+D65+D66</f>
        <v>13259821</v>
      </c>
      <c r="E62" s="35">
        <f t="shared" ref="E62:H62" si="71">E63+E64+E65+E66</f>
        <v>0</v>
      </c>
      <c r="F62" s="35">
        <f t="shared" si="71"/>
        <v>0</v>
      </c>
      <c r="G62" s="35">
        <f t="shared" si="71"/>
        <v>13259821</v>
      </c>
      <c r="H62" s="35">
        <f t="shared" si="71"/>
        <v>0</v>
      </c>
      <c r="I62" s="34">
        <f t="shared" ref="I62" si="72">I63+I64+I65+I66</f>
        <v>697885.31578947371</v>
      </c>
      <c r="J62" s="34">
        <f t="shared" ref="J62" si="73">J63+J64+J65+J66</f>
        <v>697885.31578947371</v>
      </c>
      <c r="K62" s="34">
        <f t="shared" ref="K62" si="74">K63+K64+K65+K66</f>
        <v>0</v>
      </c>
      <c r="L62" s="34">
        <f t="shared" ref="L62" si="75">L63+L64+L65+L66</f>
        <v>697885.31578947371</v>
      </c>
      <c r="M62" s="34">
        <f t="shared" ref="M62" si="76">M63+M64+M65+M66</f>
        <v>0</v>
      </c>
      <c r="N62" s="34">
        <f t="shared" ref="N62" si="77">N63+N64+N65+N66</f>
        <v>0</v>
      </c>
      <c r="O62" s="34">
        <f t="shared" ref="O62" si="78">O63+O64+O65+O66</f>
        <v>13957706.315789472</v>
      </c>
      <c r="P62" s="34">
        <f t="shared" ref="P62" si="79">P63+P64+P65+P66</f>
        <v>0</v>
      </c>
      <c r="Q62" s="94">
        <f t="shared" si="3"/>
        <v>95.000000000000014</v>
      </c>
      <c r="R62" s="95"/>
    </row>
    <row r="63" spans="1:18" ht="16.5">
      <c r="A63" s="12" t="s">
        <v>59</v>
      </c>
      <c r="B63" s="8" t="s">
        <v>218</v>
      </c>
      <c r="C63" s="49" t="s">
        <v>162</v>
      </c>
      <c r="D63" s="5">
        <f t="shared" si="4"/>
        <v>3500000</v>
      </c>
      <c r="E63" s="9">
        <v>0</v>
      </c>
      <c r="F63" s="4">
        <v>0</v>
      </c>
      <c r="G63" s="4">
        <v>3500000</v>
      </c>
      <c r="H63" s="4">
        <v>0</v>
      </c>
      <c r="I63" s="9">
        <f t="shared" si="17"/>
        <v>184210.5263157895</v>
      </c>
      <c r="J63" s="9">
        <f t="shared" si="18"/>
        <v>184210.5263157895</v>
      </c>
      <c r="K63" s="4">
        <v>0</v>
      </c>
      <c r="L63" s="4">
        <f>D63*100/95*5/100-K63-N63</f>
        <v>184210.5263157895</v>
      </c>
      <c r="M63" s="4">
        <v>0</v>
      </c>
      <c r="N63" s="4">
        <v>0</v>
      </c>
      <c r="O63" s="9">
        <f t="shared" ref="O63:O66" si="80">D63+I63</f>
        <v>3684210.5263157897</v>
      </c>
      <c r="P63" s="48">
        <v>0</v>
      </c>
      <c r="Q63" s="94">
        <f t="shared" si="3"/>
        <v>95</v>
      </c>
      <c r="R63" s="96"/>
    </row>
    <row r="64" spans="1:18" ht="16.5">
      <c r="A64" s="12" t="s">
        <v>61</v>
      </c>
      <c r="B64" s="8" t="s">
        <v>219</v>
      </c>
      <c r="C64" s="49" t="s">
        <v>162</v>
      </c>
      <c r="D64" s="5">
        <f t="shared" si="4"/>
        <v>2629911</v>
      </c>
      <c r="E64" s="9">
        <v>0</v>
      </c>
      <c r="F64" s="4">
        <v>0</v>
      </c>
      <c r="G64" s="4">
        <v>2629911</v>
      </c>
      <c r="H64" s="4">
        <v>0</v>
      </c>
      <c r="I64" s="9">
        <f t="shared" si="17"/>
        <v>138416.36842105261</v>
      </c>
      <c r="J64" s="9">
        <f t="shared" si="18"/>
        <v>138416.36842105261</v>
      </c>
      <c r="K64" s="4">
        <v>0</v>
      </c>
      <c r="L64" s="4">
        <f t="shared" ref="L64:L66" si="81">D64*100/95*5/100-K64-N64</f>
        <v>138416.36842105261</v>
      </c>
      <c r="M64" s="4">
        <v>0</v>
      </c>
      <c r="N64" s="4">
        <v>0</v>
      </c>
      <c r="O64" s="9">
        <f t="shared" si="80"/>
        <v>2768327.3684210526</v>
      </c>
      <c r="P64" s="48">
        <v>0</v>
      </c>
      <c r="Q64" s="94">
        <f t="shared" si="3"/>
        <v>95</v>
      </c>
      <c r="R64" s="96"/>
    </row>
    <row r="65" spans="1:18" ht="16.5">
      <c r="A65" s="12" t="s">
        <v>62</v>
      </c>
      <c r="B65" s="8" t="s">
        <v>221</v>
      </c>
      <c r="C65" s="49" t="s">
        <v>162</v>
      </c>
      <c r="D65" s="5">
        <f t="shared" si="4"/>
        <v>3430678</v>
      </c>
      <c r="E65" s="9">
        <v>0</v>
      </c>
      <c r="F65" s="4">
        <v>0</v>
      </c>
      <c r="G65" s="4">
        <v>3430678</v>
      </c>
      <c r="H65" s="4">
        <v>0</v>
      </c>
      <c r="I65" s="9">
        <f t="shared" si="17"/>
        <v>180562</v>
      </c>
      <c r="J65" s="9">
        <f t="shared" si="18"/>
        <v>180562</v>
      </c>
      <c r="K65" s="4">
        <v>0</v>
      </c>
      <c r="L65" s="4">
        <f t="shared" si="81"/>
        <v>180562</v>
      </c>
      <c r="M65" s="4">
        <v>0</v>
      </c>
      <c r="N65" s="4">
        <v>0</v>
      </c>
      <c r="O65" s="9">
        <f t="shared" si="80"/>
        <v>3611240</v>
      </c>
      <c r="P65" s="48">
        <v>0</v>
      </c>
      <c r="Q65" s="94">
        <f t="shared" si="3"/>
        <v>95</v>
      </c>
      <c r="R65" s="96"/>
    </row>
    <row r="66" spans="1:18" ht="16.5">
      <c r="A66" s="12" t="s">
        <v>63</v>
      </c>
      <c r="B66" s="8" t="s">
        <v>222</v>
      </c>
      <c r="C66" s="49" t="s">
        <v>162</v>
      </c>
      <c r="D66" s="5">
        <f t="shared" si="4"/>
        <v>3699232</v>
      </c>
      <c r="E66" s="9">
        <v>0</v>
      </c>
      <c r="F66" s="4">
        <v>0</v>
      </c>
      <c r="G66" s="4">
        <v>3699232</v>
      </c>
      <c r="H66" s="4">
        <v>0</v>
      </c>
      <c r="I66" s="9">
        <f t="shared" si="17"/>
        <v>194696.42105263157</v>
      </c>
      <c r="J66" s="9">
        <f t="shared" si="18"/>
        <v>194696.42105263157</v>
      </c>
      <c r="K66" s="4">
        <v>0</v>
      </c>
      <c r="L66" s="4">
        <f t="shared" si="81"/>
        <v>194696.42105263157</v>
      </c>
      <c r="M66" s="4">
        <v>0</v>
      </c>
      <c r="N66" s="4">
        <v>0</v>
      </c>
      <c r="O66" s="9">
        <f t="shared" si="80"/>
        <v>3893928.4210526315</v>
      </c>
      <c r="P66" s="48">
        <v>0</v>
      </c>
      <c r="Q66" s="94">
        <f t="shared" si="3"/>
        <v>95</v>
      </c>
      <c r="R66" s="96"/>
    </row>
    <row r="67" spans="1:18" s="40" customFormat="1" ht="16.5">
      <c r="A67" s="37" t="s">
        <v>235</v>
      </c>
      <c r="B67" s="36"/>
      <c r="C67" s="49" t="s">
        <v>162</v>
      </c>
      <c r="D67" s="35">
        <f>D68+D69+D70+D71</f>
        <v>93024595</v>
      </c>
      <c r="E67" s="35">
        <f t="shared" ref="E67:H67" si="82">E68+E69+E70+E71</f>
        <v>0</v>
      </c>
      <c r="F67" s="35">
        <f t="shared" si="82"/>
        <v>93024595</v>
      </c>
      <c r="G67" s="35">
        <f t="shared" si="82"/>
        <v>0</v>
      </c>
      <c r="H67" s="35">
        <f t="shared" si="82"/>
        <v>0</v>
      </c>
      <c r="I67" s="34">
        <f t="shared" ref="I67" si="83">I68+I69+I70+I71</f>
        <v>16416105</v>
      </c>
      <c r="J67" s="34">
        <f t="shared" ref="J67" si="84">J68+J69+J70+J71</f>
        <v>16416105</v>
      </c>
      <c r="K67" s="34">
        <f t="shared" ref="K67" si="85">K68+K69+K70+K71</f>
        <v>445924</v>
      </c>
      <c r="L67" s="34">
        <f t="shared" ref="L67" si="86">L68+L69+L70+L71</f>
        <v>15970181</v>
      </c>
      <c r="M67" s="34">
        <f t="shared" ref="M67" si="87">M68+M69+M70+M71</f>
        <v>0</v>
      </c>
      <c r="N67" s="34">
        <f t="shared" ref="N67" si="88">N68+N69+N70+N71</f>
        <v>0</v>
      </c>
      <c r="O67" s="34">
        <f t="shared" ref="O67" si="89">O68+O69+O70+O71</f>
        <v>109440699.99999999</v>
      </c>
      <c r="P67" s="34">
        <f t="shared" ref="P67" si="90">P68+P69+P70+P71</f>
        <v>0</v>
      </c>
      <c r="Q67" s="94">
        <f t="shared" si="3"/>
        <v>85.000000000000014</v>
      </c>
      <c r="R67" s="95"/>
    </row>
    <row r="68" spans="1:18" ht="16.5">
      <c r="A68" s="12" t="s">
        <v>72</v>
      </c>
      <c r="B68" s="8" t="s">
        <v>223</v>
      </c>
      <c r="C68" s="49" t="s">
        <v>162</v>
      </c>
      <c r="D68" s="5">
        <f t="shared" si="4"/>
        <v>26774641</v>
      </c>
      <c r="E68" s="9">
        <v>0</v>
      </c>
      <c r="F68" s="56">
        <v>26774641</v>
      </c>
      <c r="G68" s="4">
        <v>0</v>
      </c>
      <c r="H68" s="4">
        <v>0</v>
      </c>
      <c r="I68" s="9">
        <f t="shared" si="17"/>
        <v>4724936.6470588231</v>
      </c>
      <c r="J68" s="9">
        <f t="shared" si="18"/>
        <v>4724936.6470588231</v>
      </c>
      <c r="K68" s="4">
        <v>0</v>
      </c>
      <c r="L68" s="4">
        <f t="shared" ref="L68:L69" si="91">D68*100/85*15/100-K68-N68</f>
        <v>4724936.6470588231</v>
      </c>
      <c r="M68" s="4">
        <v>0</v>
      </c>
      <c r="N68" s="4">
        <v>0</v>
      </c>
      <c r="O68" s="9">
        <f t="shared" ref="O68:O69" si="92">D68+I68</f>
        <v>31499577.647058822</v>
      </c>
      <c r="P68" s="48">
        <v>0</v>
      </c>
      <c r="Q68" s="94">
        <f t="shared" si="3"/>
        <v>85</v>
      </c>
      <c r="R68" s="96"/>
    </row>
    <row r="69" spans="1:18" ht="16.5">
      <c r="A69" s="12" t="s">
        <v>77</v>
      </c>
      <c r="B69" s="8" t="s">
        <v>223</v>
      </c>
      <c r="C69" s="49" t="s">
        <v>162</v>
      </c>
      <c r="D69" s="5">
        <f t="shared" si="4"/>
        <v>38509788</v>
      </c>
      <c r="E69" s="9">
        <v>0</v>
      </c>
      <c r="F69" s="56">
        <v>38509788</v>
      </c>
      <c r="G69" s="4">
        <v>0</v>
      </c>
      <c r="H69" s="4">
        <v>0</v>
      </c>
      <c r="I69" s="9">
        <f t="shared" si="17"/>
        <v>6795844.9411764713</v>
      </c>
      <c r="J69" s="9">
        <f t="shared" si="18"/>
        <v>6795844.9411764713</v>
      </c>
      <c r="K69" s="4">
        <v>0</v>
      </c>
      <c r="L69" s="4">
        <f t="shared" si="91"/>
        <v>6795844.9411764713</v>
      </c>
      <c r="M69" s="4">
        <v>0</v>
      </c>
      <c r="N69" s="4">
        <v>0</v>
      </c>
      <c r="O69" s="9">
        <f t="shared" si="92"/>
        <v>45305632.941176474</v>
      </c>
      <c r="P69" s="48">
        <v>0</v>
      </c>
      <c r="Q69" s="94">
        <f t="shared" si="3"/>
        <v>85</v>
      </c>
      <c r="R69" s="96"/>
    </row>
    <row r="70" spans="1:18" ht="16.5">
      <c r="A70" s="12" t="s">
        <v>81</v>
      </c>
      <c r="B70" s="8" t="s">
        <v>224</v>
      </c>
      <c r="C70" s="49" t="s">
        <v>162</v>
      </c>
      <c r="D70" s="5">
        <f t="shared" si="4"/>
        <v>5013822</v>
      </c>
      <c r="E70" s="9">
        <v>0</v>
      </c>
      <c r="F70" s="56">
        <v>5013822</v>
      </c>
      <c r="G70" s="4">
        <v>0</v>
      </c>
      <c r="H70" s="4">
        <v>0</v>
      </c>
      <c r="I70" s="9">
        <f t="shared" si="17"/>
        <v>884792.11764705891</v>
      </c>
      <c r="J70" s="9">
        <f t="shared" si="18"/>
        <v>884792.11764705891</v>
      </c>
      <c r="K70" s="4">
        <v>445924</v>
      </c>
      <c r="L70" s="4">
        <f>D70*100/85*15/100-K70</f>
        <v>438868.11764705891</v>
      </c>
      <c r="M70" s="4">
        <v>0</v>
      </c>
      <c r="N70" s="4">
        <v>0</v>
      </c>
      <c r="O70" s="9">
        <f>(D70+I70)</f>
        <v>5898614.1176470593</v>
      </c>
      <c r="P70" s="48">
        <v>0</v>
      </c>
      <c r="Q70" s="94">
        <f t="shared" si="3"/>
        <v>85</v>
      </c>
      <c r="R70" s="96"/>
    </row>
    <row r="71" spans="1:18" ht="16.5">
      <c r="A71" s="12" t="s">
        <v>83</v>
      </c>
      <c r="B71" s="8" t="s">
        <v>224</v>
      </c>
      <c r="C71" s="49" t="s">
        <v>162</v>
      </c>
      <c r="D71" s="5">
        <f t="shared" si="4"/>
        <v>22726344</v>
      </c>
      <c r="E71" s="9">
        <v>0</v>
      </c>
      <c r="F71" s="56">
        <v>22726344</v>
      </c>
      <c r="G71" s="4">
        <v>0</v>
      </c>
      <c r="H71" s="4">
        <v>0</v>
      </c>
      <c r="I71" s="9">
        <f t="shared" si="17"/>
        <v>4010531.2941176472</v>
      </c>
      <c r="J71" s="9">
        <f t="shared" si="18"/>
        <v>4010531.2941176472</v>
      </c>
      <c r="K71" s="4">
        <v>0</v>
      </c>
      <c r="L71" s="4">
        <f>D71*100/85*15/100-K71-N71</f>
        <v>4010531.2941176472</v>
      </c>
      <c r="M71" s="4">
        <v>0</v>
      </c>
      <c r="N71" s="4">
        <v>0</v>
      </c>
      <c r="O71" s="9">
        <f t="shared" ref="O71" si="93">D71+I71</f>
        <v>26736875.294117648</v>
      </c>
      <c r="P71" s="48">
        <v>0</v>
      </c>
      <c r="Q71" s="94">
        <f t="shared" si="3"/>
        <v>85</v>
      </c>
      <c r="R71" s="96"/>
    </row>
    <row r="72" spans="1:18" s="40" customFormat="1" ht="16.5">
      <c r="A72" s="37" t="s">
        <v>236</v>
      </c>
      <c r="B72" s="36"/>
      <c r="C72" s="49" t="s">
        <v>162</v>
      </c>
      <c r="D72" s="35">
        <f>D73</f>
        <v>26004083</v>
      </c>
      <c r="E72" s="35">
        <f t="shared" ref="E72:H72" si="94">E73</f>
        <v>0</v>
      </c>
      <c r="F72" s="35">
        <f t="shared" si="94"/>
        <v>26004083</v>
      </c>
      <c r="G72" s="35">
        <f t="shared" si="94"/>
        <v>0</v>
      </c>
      <c r="H72" s="35">
        <f t="shared" si="94"/>
        <v>0</v>
      </c>
      <c r="I72" s="35">
        <f t="shared" ref="I72" si="95">I73</f>
        <v>4588955.8235294111</v>
      </c>
      <c r="J72" s="35">
        <f t="shared" ref="J72" si="96">J73</f>
        <v>4588955.8235294111</v>
      </c>
      <c r="K72" s="35">
        <f t="shared" ref="K72" si="97">K73</f>
        <v>0</v>
      </c>
      <c r="L72" s="35">
        <f t="shared" ref="L72" si="98">L73</f>
        <v>4588955.8235294111</v>
      </c>
      <c r="M72" s="35">
        <f t="shared" ref="M72" si="99">M73</f>
        <v>0</v>
      </c>
      <c r="N72" s="35">
        <f t="shared" ref="N72" si="100">N73</f>
        <v>0</v>
      </c>
      <c r="O72" s="35">
        <f t="shared" ref="O72" si="101">O73</f>
        <v>30593038.823529411</v>
      </c>
      <c r="P72" s="35">
        <f t="shared" ref="P72" si="102">P73</f>
        <v>0</v>
      </c>
      <c r="Q72" s="94">
        <f t="shared" si="3"/>
        <v>85</v>
      </c>
      <c r="R72" s="95"/>
    </row>
    <row r="73" spans="1:18" ht="16.5">
      <c r="A73" s="12" t="s">
        <v>143</v>
      </c>
      <c r="B73" s="8" t="s">
        <v>158</v>
      </c>
      <c r="C73" s="49" t="s">
        <v>162</v>
      </c>
      <c r="D73" s="5">
        <f t="shared" si="4"/>
        <v>26004083</v>
      </c>
      <c r="E73" s="9">
        <v>0</v>
      </c>
      <c r="F73" s="5">
        <v>26004083</v>
      </c>
      <c r="G73" s="4">
        <v>0</v>
      </c>
      <c r="H73" s="4">
        <v>0</v>
      </c>
      <c r="I73" s="9">
        <f t="shared" si="17"/>
        <v>4588955.8235294111</v>
      </c>
      <c r="J73" s="9">
        <f t="shared" si="18"/>
        <v>4588955.8235294111</v>
      </c>
      <c r="K73" s="4">
        <v>0</v>
      </c>
      <c r="L73" s="4">
        <f>D73*100/85*15/100-K73-N73</f>
        <v>4588955.8235294111</v>
      </c>
      <c r="M73" s="4">
        <v>0</v>
      </c>
      <c r="N73" s="4">
        <v>0</v>
      </c>
      <c r="O73" s="9">
        <f t="shared" ref="O73" si="103">D73+I73</f>
        <v>30593038.823529411</v>
      </c>
      <c r="P73" s="48">
        <v>0</v>
      </c>
      <c r="Q73" s="94">
        <f t="shared" si="3"/>
        <v>85</v>
      </c>
      <c r="R73" s="96"/>
    </row>
    <row r="74" spans="1:18" s="40" customFormat="1" ht="16.5">
      <c r="A74" s="37" t="s">
        <v>237</v>
      </c>
      <c r="B74" s="36"/>
      <c r="C74" s="49" t="s">
        <v>162</v>
      </c>
      <c r="D74" s="35">
        <f>(D75)</f>
        <v>10662433</v>
      </c>
      <c r="E74" s="34">
        <v>0</v>
      </c>
      <c r="F74" s="35">
        <v>0</v>
      </c>
      <c r="G74" s="35">
        <f>(G75)</f>
        <v>10662433</v>
      </c>
      <c r="H74" s="35">
        <f>(H75)</f>
        <v>0</v>
      </c>
      <c r="I74" s="35">
        <f t="shared" ref="I74:P74" si="104">(I75)</f>
        <v>1881605.8235294116</v>
      </c>
      <c r="J74" s="35">
        <f t="shared" si="104"/>
        <v>1881605.8235294116</v>
      </c>
      <c r="K74" s="35">
        <f t="shared" si="104"/>
        <v>0</v>
      </c>
      <c r="L74" s="35">
        <f t="shared" si="104"/>
        <v>1881605.8235294116</v>
      </c>
      <c r="M74" s="35">
        <f t="shared" si="104"/>
        <v>0</v>
      </c>
      <c r="N74" s="35">
        <f t="shared" si="104"/>
        <v>0</v>
      </c>
      <c r="O74" s="35">
        <f t="shared" si="104"/>
        <v>12544038.823529411</v>
      </c>
      <c r="P74" s="35">
        <f t="shared" si="104"/>
        <v>0</v>
      </c>
      <c r="Q74" s="94">
        <f t="shared" si="3"/>
        <v>85</v>
      </c>
      <c r="R74" s="95"/>
    </row>
    <row r="75" spans="1:18" ht="16.5">
      <c r="A75" s="12" t="s">
        <v>159</v>
      </c>
      <c r="B75" s="8" t="s">
        <v>158</v>
      </c>
      <c r="C75" s="49" t="s">
        <v>162</v>
      </c>
      <c r="D75" s="5">
        <f t="shared" si="4"/>
        <v>10662433</v>
      </c>
      <c r="E75" s="9">
        <v>0</v>
      </c>
      <c r="F75" s="4">
        <v>0</v>
      </c>
      <c r="G75" s="5">
        <v>10662433</v>
      </c>
      <c r="H75" s="5">
        <v>0</v>
      </c>
      <c r="I75" s="9">
        <f t="shared" ref="I75" si="105">(J75+N75)</f>
        <v>1881605.8235294116</v>
      </c>
      <c r="J75" s="9">
        <f t="shared" si="18"/>
        <v>1881605.8235294116</v>
      </c>
      <c r="K75" s="4">
        <v>0</v>
      </c>
      <c r="L75" s="4">
        <f>D75*100/85*15/100-K75-N75</f>
        <v>1881605.8235294116</v>
      </c>
      <c r="M75" s="4">
        <v>0</v>
      </c>
      <c r="N75" s="4">
        <v>0</v>
      </c>
      <c r="O75" s="9">
        <f t="shared" ref="O75" si="106">D75+I75</f>
        <v>12544038.823529411</v>
      </c>
      <c r="P75" s="48">
        <v>0</v>
      </c>
      <c r="Q75" s="94">
        <f t="shared" si="3"/>
        <v>85</v>
      </c>
      <c r="R75" s="96"/>
    </row>
    <row r="76" spans="1:18" s="43" customFormat="1" ht="22.5" customHeight="1">
      <c r="A76" s="52" t="s">
        <v>160</v>
      </c>
      <c r="B76" s="52"/>
      <c r="C76" s="49" t="s">
        <v>162</v>
      </c>
      <c r="D76" s="38">
        <f>D7+D18+D33+D37+D40+D45+D62+D67+D72+D74</f>
        <v>898445845</v>
      </c>
      <c r="E76" s="38">
        <f t="shared" ref="E76:P76" si="107">E7+E18+E33+E37+E40+E45+E62+E67+E72+E74</f>
        <v>0</v>
      </c>
      <c r="F76" s="38">
        <f t="shared" si="107"/>
        <v>635336026</v>
      </c>
      <c r="G76" s="38">
        <f t="shared" si="107"/>
        <v>263109819</v>
      </c>
      <c r="H76" s="38">
        <f t="shared" si="107"/>
        <v>0</v>
      </c>
      <c r="I76" s="38">
        <f t="shared" si="107"/>
        <v>156907183.66873068</v>
      </c>
      <c r="J76" s="38">
        <f t="shared" si="107"/>
        <v>138239610.66873068</v>
      </c>
      <c r="K76" s="38">
        <f t="shared" si="107"/>
        <v>445924</v>
      </c>
      <c r="L76" s="38">
        <f t="shared" si="107"/>
        <v>133964274.90402476</v>
      </c>
      <c r="M76" s="38">
        <f t="shared" si="107"/>
        <v>3829411.7647058819</v>
      </c>
      <c r="N76" s="38">
        <f t="shared" si="107"/>
        <v>18667573</v>
      </c>
      <c r="O76" s="38">
        <f t="shared" si="107"/>
        <v>1055353028.6687306</v>
      </c>
      <c r="P76" s="38">
        <f t="shared" si="107"/>
        <v>0</v>
      </c>
      <c r="Q76" s="94">
        <f t="shared" si="3"/>
        <v>85.132256277630589</v>
      </c>
      <c r="R76" s="98"/>
    </row>
    <row r="77" spans="1:18">
      <c r="E77"/>
      <c r="F77" s="93"/>
      <c r="G77"/>
      <c r="H77"/>
    </row>
    <row r="78" spans="1:18">
      <c r="E78"/>
      <c r="G78"/>
      <c r="H78"/>
      <c r="K78" s="46"/>
    </row>
  </sheetData>
  <mergeCells count="8">
    <mergeCell ref="A2:A5"/>
    <mergeCell ref="O2:O3"/>
    <mergeCell ref="P2:P3"/>
    <mergeCell ref="B2:B5"/>
    <mergeCell ref="C2:C5"/>
    <mergeCell ref="N2:N3"/>
    <mergeCell ref="D2:G2"/>
    <mergeCell ref="J2:M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U104"/>
  <sheetViews>
    <sheetView workbookViewId="0">
      <pane xSplit="1" ySplit="5" topLeftCell="D45" activePane="bottomRight" state="frozen"/>
      <selection pane="topRight" activeCell="B1" sqref="B1"/>
      <selection pane="bottomLeft" activeCell="A6" sqref="A6"/>
      <selection pane="bottomRight" activeCell="J89" sqref="J89"/>
    </sheetView>
  </sheetViews>
  <sheetFormatPr defaultRowHeight="14.25"/>
  <cols>
    <col min="1" max="1" width="12" style="1" customWidth="1"/>
    <col min="2" max="2" width="8" style="2" customWidth="1"/>
    <col min="3" max="3" width="7.5" customWidth="1"/>
    <col min="4" max="4" width="11.5" style="3" customWidth="1"/>
    <col min="5" max="5" width="9" style="26"/>
    <col min="6" max="6" width="11.75" style="33" customWidth="1"/>
    <col min="7" max="7" width="11.625" style="26" bestFit="1" customWidth="1"/>
    <col min="8" max="8" width="11.125" style="20" customWidth="1"/>
    <col min="9" max="9" width="10.25" style="18" bestFit="1" customWidth="1"/>
    <col min="10" max="10" width="9.5" customWidth="1"/>
    <col min="11" max="11" width="10.125" customWidth="1"/>
    <col min="12" max="12" width="9.625" customWidth="1"/>
    <col min="14" max="14" width="9.5" style="20" bestFit="1" customWidth="1"/>
    <col min="15" max="15" width="12" bestFit="1" customWidth="1"/>
    <col min="17" max="17" width="10.25" bestFit="1" customWidth="1"/>
    <col min="18" max="18" width="10.5" customWidth="1"/>
    <col min="19" max="19" width="9" style="31"/>
    <col min="21" max="21" width="12.125" customWidth="1"/>
  </cols>
  <sheetData>
    <row r="2" spans="1:21" ht="22.5" customHeight="1">
      <c r="A2" s="162"/>
      <c r="B2" s="165" t="s">
        <v>0</v>
      </c>
      <c r="C2" s="159" t="s">
        <v>1</v>
      </c>
      <c r="D2" s="168" t="s">
        <v>2</v>
      </c>
      <c r="E2" s="168"/>
      <c r="F2" s="168"/>
      <c r="G2" s="168"/>
      <c r="H2" s="15" t="s">
        <v>3</v>
      </c>
      <c r="I2" s="168" t="s">
        <v>4</v>
      </c>
      <c r="J2" s="168"/>
      <c r="K2" s="168"/>
      <c r="L2" s="168"/>
      <c r="M2" s="168"/>
      <c r="N2" s="169" t="s">
        <v>5</v>
      </c>
      <c r="O2" s="159" t="s">
        <v>6</v>
      </c>
      <c r="P2" s="159" t="s">
        <v>7</v>
      </c>
      <c r="Q2" s="8" t="s">
        <v>8</v>
      </c>
      <c r="R2" s="8" t="s">
        <v>9</v>
      </c>
      <c r="S2" s="161" t="s">
        <v>10</v>
      </c>
      <c r="T2" s="159" t="s">
        <v>11</v>
      </c>
    </row>
    <row r="3" spans="1:21" ht="61.5" customHeight="1">
      <c r="A3" s="163"/>
      <c r="B3" s="166"/>
      <c r="C3" s="159"/>
      <c r="D3" s="6" t="s">
        <v>12</v>
      </c>
      <c r="E3" s="23" t="s">
        <v>13</v>
      </c>
      <c r="F3" s="6" t="s">
        <v>14</v>
      </c>
      <c r="G3" s="22" t="s">
        <v>15</v>
      </c>
      <c r="H3" s="32" t="s">
        <v>12</v>
      </c>
      <c r="I3" s="32" t="s">
        <v>12</v>
      </c>
      <c r="J3" s="6" t="s">
        <v>16</v>
      </c>
      <c r="K3" s="6" t="s">
        <v>17</v>
      </c>
      <c r="L3" s="6" t="s">
        <v>18</v>
      </c>
      <c r="M3" s="6" t="s">
        <v>19</v>
      </c>
      <c r="N3" s="169"/>
      <c r="O3" s="160"/>
      <c r="P3" s="160"/>
      <c r="Q3" s="6" t="s">
        <v>20</v>
      </c>
      <c r="R3" s="6" t="s">
        <v>21</v>
      </c>
      <c r="S3" s="161"/>
      <c r="T3" s="160"/>
    </row>
    <row r="4" spans="1:21">
      <c r="A4" s="163"/>
      <c r="B4" s="166"/>
      <c r="C4" s="159"/>
      <c r="D4" s="13" t="s">
        <v>22</v>
      </c>
      <c r="E4" s="24" t="s">
        <v>23</v>
      </c>
      <c r="F4" s="13" t="s">
        <v>24</v>
      </c>
      <c r="G4" s="21" t="s">
        <v>25</v>
      </c>
      <c r="H4" s="15" t="s">
        <v>26</v>
      </c>
      <c r="I4" s="15" t="s">
        <v>27</v>
      </c>
      <c r="J4" s="13" t="s">
        <v>28</v>
      </c>
      <c r="K4" s="13" t="s">
        <v>29</v>
      </c>
      <c r="L4" s="13" t="s">
        <v>30</v>
      </c>
      <c r="M4" s="13" t="s">
        <v>31</v>
      </c>
      <c r="N4" s="19" t="s">
        <v>32</v>
      </c>
      <c r="O4" s="13" t="s">
        <v>33</v>
      </c>
      <c r="P4" s="13" t="s">
        <v>34</v>
      </c>
      <c r="Q4" s="13" t="s">
        <v>35</v>
      </c>
      <c r="R4" s="13" t="s">
        <v>36</v>
      </c>
      <c r="S4" s="27" t="s">
        <v>37</v>
      </c>
      <c r="T4" s="13" t="s">
        <v>38</v>
      </c>
    </row>
    <row r="5" spans="1:21">
      <c r="A5" s="164"/>
      <c r="B5" s="167"/>
      <c r="C5" s="159"/>
      <c r="D5" s="14" t="s">
        <v>39</v>
      </c>
      <c r="E5" s="24"/>
      <c r="F5" s="13"/>
      <c r="G5" s="21"/>
      <c r="H5" s="16" t="s">
        <v>40</v>
      </c>
      <c r="I5" s="16" t="s">
        <v>41</v>
      </c>
      <c r="J5" s="13"/>
      <c r="K5" s="13"/>
      <c r="L5" s="13"/>
      <c r="M5" s="13"/>
      <c r="N5" s="19"/>
      <c r="O5" s="14" t="s">
        <v>42</v>
      </c>
      <c r="P5" s="13"/>
      <c r="Q5" s="14" t="s">
        <v>43</v>
      </c>
      <c r="R5" s="13"/>
      <c r="S5" s="28" t="s">
        <v>44</v>
      </c>
      <c r="T5" s="14"/>
    </row>
    <row r="6" spans="1:21">
      <c r="A6" s="12"/>
      <c r="B6" s="8"/>
      <c r="C6" s="6"/>
      <c r="D6" s="7"/>
      <c r="E6" s="25"/>
      <c r="F6" s="8"/>
      <c r="G6" s="21"/>
      <c r="H6" s="16"/>
      <c r="I6" s="16"/>
      <c r="J6" s="8"/>
      <c r="K6" s="8"/>
      <c r="L6" s="8"/>
      <c r="M6" s="8"/>
      <c r="N6" s="15"/>
      <c r="O6" s="7"/>
      <c r="P6" s="8"/>
      <c r="Q6" s="7"/>
      <c r="R6" s="8"/>
      <c r="S6" s="29"/>
      <c r="T6" s="7"/>
    </row>
    <row r="7" spans="1:21" s="40" customFormat="1" ht="22.5">
      <c r="A7" s="37" t="s">
        <v>129</v>
      </c>
      <c r="B7" s="36"/>
      <c r="C7" s="49" t="s">
        <v>162</v>
      </c>
      <c r="D7" s="70">
        <f>(D8+D9+D10+D14+D17)</f>
        <v>191328826.80000001</v>
      </c>
      <c r="E7" s="70">
        <v>0</v>
      </c>
      <c r="F7" s="70">
        <f t="shared" ref="F7" si="0">(F8+F9+F10+F14+F17)</f>
        <v>191328826.80000001</v>
      </c>
      <c r="G7" s="68">
        <v>0</v>
      </c>
      <c r="H7" s="67" t="e">
        <f>(H8+H9+H10+H14+H17)</f>
        <v>#REF!</v>
      </c>
      <c r="I7" s="67" t="e">
        <f t="shared" ref="I7:O7" si="1">(I8+I9+I10+I14+I17)</f>
        <v>#REF!</v>
      </c>
      <c r="J7" s="68">
        <f>IPF!K7-IPF!K7*'IPF - RW'!$U$7</f>
        <v>0</v>
      </c>
      <c r="K7" s="68" t="e">
        <f>IPF!#REF!-IPF!#REF!*'IPF - RW'!$U$7</f>
        <v>#REF!</v>
      </c>
      <c r="L7" s="68">
        <f>IPF!L7-IPF!L7*'IPF - RW'!$U$7</f>
        <v>5514336.5370889464</v>
      </c>
      <c r="M7" s="68">
        <f>IPF!M7-IPF!M7*'IPF - RW'!$U$7</f>
        <v>0</v>
      </c>
      <c r="N7" s="68">
        <f>IPF!N7-IPF!N7*'IPF - RW'!$U$7</f>
        <v>10805483.37080694</v>
      </c>
      <c r="O7" s="70" t="e">
        <f t="shared" si="1"/>
        <v>#REF!</v>
      </c>
      <c r="P7" s="36"/>
      <c r="Q7" s="70">
        <f>(D7-R7)</f>
        <v>181762385.80000001</v>
      </c>
      <c r="R7" s="78">
        <v>9566441</v>
      </c>
      <c r="S7" s="79">
        <f>(R7/D7)</f>
        <v>4.9999998222954659E-2</v>
      </c>
      <c r="T7" s="47">
        <v>0</v>
      </c>
      <c r="U7" s="80">
        <v>4.999999817068862E-2</v>
      </c>
    </row>
    <row r="8" spans="1:21" ht="16.5">
      <c r="A8" s="12" t="s">
        <v>131</v>
      </c>
      <c r="B8" s="8" t="s">
        <v>130</v>
      </c>
      <c r="C8" s="49" t="s">
        <v>162</v>
      </c>
      <c r="D8" s="5">
        <f>E8+F8+G8</f>
        <v>49955148</v>
      </c>
      <c r="E8" s="9">
        <v>0</v>
      </c>
      <c r="F8" s="5">
        <v>49955148</v>
      </c>
      <c r="G8" s="4">
        <v>0</v>
      </c>
      <c r="H8" s="16" t="e">
        <f>(I8+N8)</f>
        <v>#REF!</v>
      </c>
      <c r="I8" s="16" t="e">
        <f t="shared" ref="I8:I9" si="2">J8+K8+L8+M8</f>
        <v>#REF!</v>
      </c>
      <c r="J8" s="68">
        <f>IPF!K8-IPF!K8*'IPF - RW'!$U$7</f>
        <v>0</v>
      </c>
      <c r="K8" s="68" t="e">
        <f>IPF!#REF!-IPF!#REF!*'IPF - RW'!$U$7</f>
        <v>#REF!</v>
      </c>
      <c r="L8" s="68">
        <f>IPF!L8-IPF!L8*'IPF - RW'!$U$7</f>
        <v>651029.41301832267</v>
      </c>
      <c r="M8" s="68">
        <f>IPF!M8-IPF!M8*'IPF - RW'!$U$7</f>
        <v>0</v>
      </c>
      <c r="N8" s="68">
        <f>IPF!N8-IPF!N8*'IPF - RW'!$U$7</f>
        <v>3800000.0073172455</v>
      </c>
      <c r="O8" s="9" t="e">
        <f>(D8+H8)</f>
        <v>#REF!</v>
      </c>
      <c r="P8" s="41">
        <v>0.1</v>
      </c>
      <c r="Q8" s="10"/>
      <c r="R8" s="11"/>
      <c r="S8" s="30"/>
      <c r="T8" s="48">
        <v>0</v>
      </c>
    </row>
    <row r="9" spans="1:21" ht="16.5">
      <c r="A9" s="12" t="s">
        <v>133</v>
      </c>
      <c r="B9" s="8" t="s">
        <v>132</v>
      </c>
      <c r="C9" s="49" t="s">
        <v>162</v>
      </c>
      <c r="D9" s="5">
        <f>E9+F9+G9</f>
        <v>21887841.399999999</v>
      </c>
      <c r="E9" s="9">
        <v>0</v>
      </c>
      <c r="F9" s="5">
        <v>21887841.399999999</v>
      </c>
      <c r="G9" s="4">
        <v>0</v>
      </c>
      <c r="H9" s="16" t="e">
        <f>(I9+N9)</f>
        <v>#REF!</v>
      </c>
      <c r="I9" s="16" t="e">
        <f t="shared" si="2"/>
        <v>#REF!</v>
      </c>
      <c r="J9" s="68">
        <f>IPF!K9-IPF!K9*'IPF - RW'!$U$7</f>
        <v>0</v>
      </c>
      <c r="K9" s="68" t="e">
        <f>IPF!#REF!-IPF!#REF!*'IPF - RW'!$U$7</f>
        <v>#REF!</v>
      </c>
      <c r="L9" s="68">
        <f>IPF!L9-IPF!L9*'IPF - RW'!$U$7</f>
        <v>2105546.6422897158</v>
      </c>
      <c r="M9" s="68">
        <f>IPF!M9-IPF!M9*'IPF - RW'!$U$7</f>
        <v>0</v>
      </c>
      <c r="N9" s="68">
        <f>IPF!N9-IPF!N9*'IPF - RW'!$U$7</f>
        <v>0</v>
      </c>
      <c r="O9" s="9" t="e">
        <f>(D9+H9)</f>
        <v>#REF!</v>
      </c>
      <c r="P9" s="41">
        <v>0</v>
      </c>
      <c r="Q9" s="10"/>
      <c r="R9" s="11"/>
      <c r="S9" s="30"/>
      <c r="T9" s="48">
        <v>0</v>
      </c>
    </row>
    <row r="10" spans="1:21" ht="16.5">
      <c r="A10" s="12" t="s">
        <v>134</v>
      </c>
      <c r="B10" s="8" t="s">
        <v>132</v>
      </c>
      <c r="C10" s="49" t="s">
        <v>162</v>
      </c>
      <c r="D10" s="59">
        <f>D11+D12+D13</f>
        <v>13147946.800000001</v>
      </c>
      <c r="E10" s="59">
        <f>E11+E12+E13</f>
        <v>0</v>
      </c>
      <c r="F10" s="59">
        <f>F11+F12+F13</f>
        <v>13147946.800000001</v>
      </c>
      <c r="G10" s="59">
        <f>G11+G12+G13</f>
        <v>0</v>
      </c>
      <c r="H10" s="55" t="e">
        <f t="shared" ref="H10:O10" si="3">H11+H12+H13</f>
        <v>#REF!</v>
      </c>
      <c r="I10" s="55" t="e">
        <f t="shared" si="3"/>
        <v>#REF!</v>
      </c>
      <c r="J10" s="68">
        <f>IPF!K10-IPF!K10*'IPF - RW'!$U$7</f>
        <v>0</v>
      </c>
      <c r="K10" s="68" t="e">
        <f>IPF!#REF!-IPF!#REF!*'IPF - RW'!$U$7</f>
        <v>#REF!</v>
      </c>
      <c r="L10" s="68">
        <f>IPF!L10-IPF!L10*'IPF - RW'!$U$7</f>
        <v>484500.00093294878</v>
      </c>
      <c r="M10" s="68">
        <f>IPF!M10-IPF!M10*'IPF - RW'!$U$7</f>
        <v>0</v>
      </c>
      <c r="N10" s="68">
        <f>IPF!N10-IPF!N10*'IPF - RW'!$U$7</f>
        <v>0</v>
      </c>
      <c r="O10" s="58" t="e">
        <f t="shared" si="3"/>
        <v>#REF!</v>
      </c>
      <c r="P10" s="41">
        <v>0</v>
      </c>
      <c r="Q10" s="10"/>
      <c r="R10" s="11"/>
      <c r="S10" s="30"/>
      <c r="T10" s="48">
        <v>0</v>
      </c>
    </row>
    <row r="11" spans="1:21" ht="22.5">
      <c r="A11" s="12" t="s">
        <v>135</v>
      </c>
      <c r="B11" s="8" t="s">
        <v>132</v>
      </c>
      <c r="C11" s="49" t="s">
        <v>162</v>
      </c>
      <c r="D11" s="59">
        <f t="shared" ref="D11:D13" si="4">E11+F11+G11</f>
        <v>8162521.7999999998</v>
      </c>
      <c r="E11" s="58">
        <v>0</v>
      </c>
      <c r="F11" s="59">
        <v>8162521.7999999998</v>
      </c>
      <c r="G11" s="56">
        <v>0</v>
      </c>
      <c r="H11" s="55" t="e">
        <f>(I11+N11)</f>
        <v>#REF!</v>
      </c>
      <c r="I11" s="55" t="e">
        <f t="shared" ref="I11:I13" si="5">J11+K11+L11+M11</f>
        <v>#REF!</v>
      </c>
      <c r="J11" s="68" t="e">
        <f>IPF!#REF!-IPF!#REF!*'IPF - RW'!$U$7</f>
        <v>#REF!</v>
      </c>
      <c r="K11" s="68" t="e">
        <f>IPF!#REF!-IPF!#REF!*'IPF - RW'!$U$7</f>
        <v>#REF!</v>
      </c>
      <c r="L11" s="68" t="e">
        <f>IPF!#REF!-IPF!#REF!*'IPF - RW'!$U$7</f>
        <v>#REF!</v>
      </c>
      <c r="M11" s="68" t="e">
        <f>IPF!#REF!-IPF!#REF!*'IPF - RW'!$U$7</f>
        <v>#REF!</v>
      </c>
      <c r="N11" s="68" t="e">
        <f>IPF!#REF!-IPF!#REF!*'IPF - RW'!$U$7</f>
        <v>#REF!</v>
      </c>
      <c r="O11" s="58" t="e">
        <f>(D11+H11)</f>
        <v>#REF!</v>
      </c>
      <c r="P11" s="41">
        <v>0</v>
      </c>
      <c r="Q11" s="10"/>
      <c r="R11" s="10"/>
      <c r="S11" s="10"/>
      <c r="T11" s="48">
        <v>0</v>
      </c>
    </row>
    <row r="12" spans="1:21" ht="22.5">
      <c r="A12" s="12" t="s">
        <v>136</v>
      </c>
      <c r="B12" s="8" t="s">
        <v>132</v>
      </c>
      <c r="C12" s="49" t="s">
        <v>162</v>
      </c>
      <c r="D12" s="5">
        <f t="shared" si="4"/>
        <v>4000000</v>
      </c>
      <c r="E12" s="9">
        <v>0</v>
      </c>
      <c r="F12" s="5">
        <v>4000000</v>
      </c>
      <c r="G12" s="4">
        <v>0</v>
      </c>
      <c r="H12" s="16" t="e">
        <f>(I12+N12)</f>
        <v>#REF!</v>
      </c>
      <c r="I12" s="16" t="e">
        <f t="shared" si="5"/>
        <v>#REF!</v>
      </c>
      <c r="J12" s="68" t="e">
        <f>IPF!#REF!-IPF!#REF!*'IPF - RW'!$U$7</f>
        <v>#REF!</v>
      </c>
      <c r="K12" s="68" t="e">
        <f>IPF!#REF!-IPF!#REF!*'IPF - RW'!$U$7</f>
        <v>#REF!</v>
      </c>
      <c r="L12" s="68" t="e">
        <f>IPF!#REF!-IPF!#REF!*'IPF - RW'!$U$7</f>
        <v>#REF!</v>
      </c>
      <c r="M12" s="68" t="e">
        <f>IPF!#REF!-IPF!#REF!*'IPF - RW'!$U$7</f>
        <v>#REF!</v>
      </c>
      <c r="N12" s="68" t="e">
        <f>IPF!#REF!-IPF!#REF!*'IPF - RW'!$U$7</f>
        <v>#REF!</v>
      </c>
      <c r="O12" s="9" t="e">
        <f>(D12+H12)</f>
        <v>#REF!</v>
      </c>
      <c r="P12" s="41">
        <v>0</v>
      </c>
      <c r="Q12" s="10"/>
      <c r="R12" s="10"/>
      <c r="S12" s="10"/>
      <c r="T12" s="48">
        <v>0</v>
      </c>
    </row>
    <row r="13" spans="1:21" ht="22.5">
      <c r="A13" s="12" t="s">
        <v>168</v>
      </c>
      <c r="B13" s="8" t="s">
        <v>132</v>
      </c>
      <c r="C13" s="49" t="s">
        <v>162</v>
      </c>
      <c r="D13" s="5">
        <f t="shared" si="4"/>
        <v>985425</v>
      </c>
      <c r="E13" s="9">
        <v>0</v>
      </c>
      <c r="F13" s="5">
        <v>985425</v>
      </c>
      <c r="G13" s="4">
        <v>0</v>
      </c>
      <c r="H13" s="16" t="e">
        <f>(I13+N13)</f>
        <v>#REF!</v>
      </c>
      <c r="I13" s="16" t="e">
        <f t="shared" si="5"/>
        <v>#REF!</v>
      </c>
      <c r="J13" s="68" t="e">
        <f>IPF!#REF!-IPF!#REF!*'IPF - RW'!$U$7</f>
        <v>#REF!</v>
      </c>
      <c r="K13" s="68" t="e">
        <f>IPF!#REF!-IPF!#REF!*'IPF - RW'!$U$7</f>
        <v>#REF!</v>
      </c>
      <c r="L13" s="68" t="e">
        <f>IPF!#REF!-IPF!#REF!*'IPF - RW'!$U$7</f>
        <v>#REF!</v>
      </c>
      <c r="M13" s="68" t="e">
        <f>IPF!#REF!-IPF!#REF!*'IPF - RW'!$U$7</f>
        <v>#REF!</v>
      </c>
      <c r="N13" s="68" t="e">
        <f>IPF!#REF!-IPF!#REF!*'IPF - RW'!$U$7</f>
        <v>#REF!</v>
      </c>
      <c r="O13" s="9" t="e">
        <f>(D13+H13)</f>
        <v>#REF!</v>
      </c>
      <c r="P13" s="41">
        <v>0</v>
      </c>
      <c r="Q13" s="10"/>
      <c r="R13" s="10"/>
      <c r="S13" s="10"/>
      <c r="T13" s="48"/>
    </row>
    <row r="14" spans="1:21" ht="16.5">
      <c r="A14" s="12" t="s">
        <v>137</v>
      </c>
      <c r="B14" s="8" t="s">
        <v>140</v>
      </c>
      <c r="C14" s="49" t="s">
        <v>162</v>
      </c>
      <c r="D14" s="59">
        <f>D15+D16</f>
        <v>8332631.5999999996</v>
      </c>
      <c r="E14" s="58">
        <v>0</v>
      </c>
      <c r="F14" s="59">
        <f>F15+F16</f>
        <v>8332631.5999999996</v>
      </c>
      <c r="G14" s="56">
        <v>0</v>
      </c>
      <c r="H14" s="55" t="e">
        <f>H15+H16</f>
        <v>#REF!</v>
      </c>
      <c r="I14" s="55" t="e">
        <f>I15+I16</f>
        <v>#REF!</v>
      </c>
      <c r="J14" s="68">
        <f>IPF!K11-IPF!K11*'IPF - RW'!$U$7</f>
        <v>0</v>
      </c>
      <c r="K14" s="68" t="e">
        <f>IPF!#REF!-IPF!#REF!*'IPF - RW'!$U$7</f>
        <v>#REF!</v>
      </c>
      <c r="L14" s="68">
        <f>IPF!L11-IPF!L11*'IPF - RW'!$U$7</f>
        <v>469196.00384465611</v>
      </c>
      <c r="M14" s="68">
        <f>IPF!M11-IPF!M11*'IPF - RW'!$U$7</f>
        <v>0</v>
      </c>
      <c r="N14" s="68">
        <f>IPF!N11-IPF!N11*'IPF - RW'!$U$7</f>
        <v>0</v>
      </c>
      <c r="O14" s="58" t="e">
        <f>O15+O16</f>
        <v>#REF!</v>
      </c>
      <c r="P14" s="41">
        <v>0</v>
      </c>
      <c r="Q14" s="10"/>
      <c r="R14" s="10"/>
      <c r="S14" s="10"/>
      <c r="T14" s="48">
        <v>0</v>
      </c>
    </row>
    <row r="15" spans="1:21" ht="22.5">
      <c r="A15" s="12" t="s">
        <v>138</v>
      </c>
      <c r="B15" s="8" t="s">
        <v>140</v>
      </c>
      <c r="C15" s="49" t="s">
        <v>162</v>
      </c>
      <c r="D15" s="59">
        <f t="shared" ref="D15:D16" si="6">E15+F15+G15</f>
        <v>7332631.5999999996</v>
      </c>
      <c r="E15" s="58">
        <v>0</v>
      </c>
      <c r="F15" s="59">
        <v>7332631.5999999996</v>
      </c>
      <c r="G15" s="56">
        <v>0</v>
      </c>
      <c r="H15" s="55" t="e">
        <f t="shared" ref="H15:H78" si="7">(I15+N15)</f>
        <v>#REF!</v>
      </c>
      <c r="I15" s="55" t="e">
        <f t="shared" ref="I15:I16" si="8">J15+K15+L15+M15</f>
        <v>#REF!</v>
      </c>
      <c r="J15" s="68">
        <f>IPF!K12-IPF!K12*'IPF - RW'!$U$7</f>
        <v>0</v>
      </c>
      <c r="K15" s="68" t="e">
        <f>IPF!#REF!-IPF!#REF!*'IPF - RW'!$U$7</f>
        <v>#REF!</v>
      </c>
      <c r="L15" s="68">
        <f>IPF!L12-IPF!L12*'IPF - RW'!$U$7</f>
        <v>798178.09859578882</v>
      </c>
      <c r="M15" s="68">
        <f>IPF!M12-IPF!M12*'IPF - RW'!$U$7</f>
        <v>0</v>
      </c>
      <c r="N15" s="68">
        <f>IPF!N12-IPF!N12*'IPF - RW'!$U$7</f>
        <v>3800000.0073172455</v>
      </c>
      <c r="O15" s="58" t="e">
        <f>(D15+H15)</f>
        <v>#REF!</v>
      </c>
      <c r="P15" s="41">
        <v>0</v>
      </c>
      <c r="Q15" s="10"/>
      <c r="R15" s="10"/>
      <c r="S15" s="10"/>
      <c r="T15" s="48">
        <v>0</v>
      </c>
    </row>
    <row r="16" spans="1:21" ht="22.5">
      <c r="A16" s="12" t="s">
        <v>139</v>
      </c>
      <c r="B16" s="8" t="s">
        <v>140</v>
      </c>
      <c r="C16" s="49" t="s">
        <v>162</v>
      </c>
      <c r="D16" s="5">
        <f t="shared" si="6"/>
        <v>1000000</v>
      </c>
      <c r="E16" s="9">
        <v>0</v>
      </c>
      <c r="F16" s="5">
        <v>1000000</v>
      </c>
      <c r="G16" s="4">
        <v>0</v>
      </c>
      <c r="H16" s="16" t="e">
        <f t="shared" si="7"/>
        <v>#REF!</v>
      </c>
      <c r="I16" s="16" t="e">
        <f t="shared" si="8"/>
        <v>#REF!</v>
      </c>
      <c r="J16" s="68">
        <f>IPF!K13-IPF!K13*'IPF - RW'!$U$7</f>
        <v>0</v>
      </c>
      <c r="K16" s="68" t="e">
        <f>IPF!#REF!-IPF!#REF!*'IPF - RW'!$U$7</f>
        <v>#REF!</v>
      </c>
      <c r="L16" s="68">
        <f>IPF!L13-IPF!L13*'IPF - RW'!$U$7</f>
        <v>0</v>
      </c>
      <c r="M16" s="68">
        <f>IPF!M13-IPF!M13*'IPF - RW'!$U$7</f>
        <v>0</v>
      </c>
      <c r="N16" s="68">
        <f>IPF!N13-IPF!N13*'IPF - RW'!$U$7</f>
        <v>1938000.0037317951</v>
      </c>
      <c r="O16" s="9" t="e">
        <f>(D16+H16)</f>
        <v>#REF!</v>
      </c>
      <c r="P16" s="41">
        <v>0</v>
      </c>
      <c r="Q16" s="10"/>
      <c r="R16" s="10"/>
      <c r="S16" s="10"/>
      <c r="T16" s="48">
        <v>0</v>
      </c>
    </row>
    <row r="17" spans="1:21" ht="16.5">
      <c r="A17" s="12" t="s">
        <v>142</v>
      </c>
      <c r="B17" s="8" t="s">
        <v>141</v>
      </c>
      <c r="C17" s="49" t="s">
        <v>162</v>
      </c>
      <c r="D17" s="64">
        <f>D18+D19</f>
        <v>98005259</v>
      </c>
      <c r="E17" s="61">
        <v>0</v>
      </c>
      <c r="F17" s="64">
        <f>F18+F19</f>
        <v>98005259</v>
      </c>
      <c r="G17" s="60">
        <v>0</v>
      </c>
      <c r="H17" s="62" t="e">
        <f>H18+H19</f>
        <v>#REF!</v>
      </c>
      <c r="I17" s="62" t="e">
        <f>I18+I19</f>
        <v>#REF!</v>
      </c>
      <c r="J17" s="68">
        <f>IPF!K14-IPF!K14*'IPF - RW'!$U$7</f>
        <v>0</v>
      </c>
      <c r="K17" s="68" t="e">
        <f>IPF!#REF!-IPF!#REF!*'IPF - RW'!$U$7</f>
        <v>#REF!</v>
      </c>
      <c r="L17" s="68">
        <f>IPF!L14-IPF!L14*'IPF - RW'!$U$7</f>
        <v>423746.04787478503</v>
      </c>
      <c r="M17" s="68">
        <f>IPF!M14-IPF!M14*'IPF - RW'!$U$7</f>
        <v>0</v>
      </c>
      <c r="N17" s="68">
        <f>IPF!N14-IPF!N14*'IPF - RW'!$U$7</f>
        <v>0</v>
      </c>
      <c r="O17" s="61" t="e">
        <f>O18+O19</f>
        <v>#REF!</v>
      </c>
      <c r="P17" s="41"/>
      <c r="Q17" s="10"/>
      <c r="R17" s="10"/>
      <c r="S17" s="10"/>
      <c r="T17" s="48">
        <v>0</v>
      </c>
    </row>
    <row r="18" spans="1:21" ht="22.5">
      <c r="A18" s="12" t="s">
        <v>164</v>
      </c>
      <c r="B18" s="8" t="s">
        <v>141</v>
      </c>
      <c r="C18" s="49" t="s">
        <v>162</v>
      </c>
      <c r="D18" s="64">
        <f>E18+F18+G18</f>
        <v>41005259</v>
      </c>
      <c r="E18" s="61">
        <v>0</v>
      </c>
      <c r="F18" s="64">
        <v>41005259</v>
      </c>
      <c r="G18" s="60">
        <v>0</v>
      </c>
      <c r="H18" s="62" t="e">
        <f t="shared" si="7"/>
        <v>#REF!</v>
      </c>
      <c r="I18" s="62" t="e">
        <f>J18+K18+L18+M18</f>
        <v>#REF!</v>
      </c>
      <c r="J18" s="68">
        <f>IPF!K15-IPF!K15*'IPF - RW'!$U$7</f>
        <v>0</v>
      </c>
      <c r="K18" s="68" t="e">
        <f>IPF!#REF!-IPF!#REF!*'IPF - RW'!$U$7</f>
        <v>#REF!</v>
      </c>
      <c r="L18" s="68">
        <f>IPF!L15-IPF!L15*'IPF - RW'!$U$7</f>
        <v>73693.120730138384</v>
      </c>
      <c r="M18" s="68">
        <f>IPF!M15-IPF!M15*'IPF - RW'!$U$7</f>
        <v>0</v>
      </c>
      <c r="N18" s="68">
        <f>IPF!N15-IPF!N15*'IPF - RW'!$U$7</f>
        <v>1267483.3524406545</v>
      </c>
      <c r="O18" s="61" t="e">
        <f>(D18+H18)</f>
        <v>#REF!</v>
      </c>
      <c r="P18" s="41">
        <v>0.1</v>
      </c>
      <c r="Q18" s="10"/>
      <c r="R18" s="10"/>
      <c r="S18" s="10"/>
      <c r="T18" s="48">
        <v>0</v>
      </c>
    </row>
    <row r="19" spans="1:21" ht="22.5">
      <c r="A19" s="12" t="s">
        <v>165</v>
      </c>
      <c r="B19" s="8" t="s">
        <v>141</v>
      </c>
      <c r="C19" s="49" t="s">
        <v>162</v>
      </c>
      <c r="D19" s="64">
        <f>E19+F19+G19</f>
        <v>57000000</v>
      </c>
      <c r="E19" s="61">
        <v>0</v>
      </c>
      <c r="F19" s="64">
        <v>57000000</v>
      </c>
      <c r="G19" s="60">
        <v>0</v>
      </c>
      <c r="H19" s="62" t="e">
        <f t="shared" si="7"/>
        <v>#REF!</v>
      </c>
      <c r="I19" s="62" t="e">
        <f>J19+K19+L19+M19</f>
        <v>#REF!</v>
      </c>
      <c r="J19" s="68" t="e">
        <f>IPF!#REF!-IPF!#REF!*'IPF - RW'!$U$7</f>
        <v>#REF!</v>
      </c>
      <c r="K19" s="68" t="e">
        <f>IPF!#REF!-IPF!#REF!*'IPF - RW'!$U$7</f>
        <v>#REF!</v>
      </c>
      <c r="L19" s="68" t="e">
        <f>IPF!#REF!-IPF!#REF!*'IPF - RW'!$U$7</f>
        <v>#REF!</v>
      </c>
      <c r="M19" s="68" t="e">
        <f>IPF!#REF!-IPF!#REF!*'IPF - RW'!$U$7</f>
        <v>#REF!</v>
      </c>
      <c r="N19" s="68" t="e">
        <f>IPF!#REF!-IPF!#REF!*'IPF - RW'!$U$7</f>
        <v>#REF!</v>
      </c>
      <c r="O19" s="61" t="e">
        <f>(D19+H19)</f>
        <v>#REF!</v>
      </c>
      <c r="P19" s="41">
        <v>0</v>
      </c>
      <c r="Q19" s="10"/>
      <c r="R19" s="10"/>
      <c r="S19" s="10"/>
      <c r="T19" s="48">
        <v>0</v>
      </c>
    </row>
    <row r="20" spans="1:21" s="40" customFormat="1" ht="22.5">
      <c r="A20" s="37" t="s">
        <v>126</v>
      </c>
      <c r="B20" s="36"/>
      <c r="C20" s="49" t="s">
        <v>162</v>
      </c>
      <c r="D20" s="34">
        <f>(D21)</f>
        <v>39202104</v>
      </c>
      <c r="E20" s="34">
        <v>0</v>
      </c>
      <c r="F20" s="34">
        <f t="shared" ref="F20" si="9">(F21)</f>
        <v>39202104</v>
      </c>
      <c r="G20" s="35">
        <v>0</v>
      </c>
      <c r="H20" s="45">
        <f t="shared" ref="H20:O20" si="10">(H21)</f>
        <v>3412196.3728115079</v>
      </c>
      <c r="I20" s="45">
        <f t="shared" si="10"/>
        <v>94549.071204022985</v>
      </c>
      <c r="J20" s="35">
        <f t="shared" si="10"/>
        <v>0</v>
      </c>
      <c r="K20" s="35">
        <f t="shared" si="10"/>
        <v>0</v>
      </c>
      <c r="L20" s="35">
        <f t="shared" si="10"/>
        <v>94549.071204022985</v>
      </c>
      <c r="M20" s="35">
        <f t="shared" si="10"/>
        <v>0</v>
      </c>
      <c r="N20" s="17">
        <f t="shared" si="10"/>
        <v>3317647.3016074849</v>
      </c>
      <c r="O20" s="34">
        <f t="shared" si="10"/>
        <v>42614300.372811511</v>
      </c>
      <c r="P20" s="42"/>
      <c r="Q20" s="34">
        <f>(D20-R20)</f>
        <v>36849978</v>
      </c>
      <c r="R20" s="38">
        <v>2352126</v>
      </c>
      <c r="S20" s="39">
        <f>(R20/D20)</f>
        <v>5.9999993877879618E-2</v>
      </c>
      <c r="T20" s="47">
        <v>0</v>
      </c>
      <c r="U20" s="80">
        <v>5.9999993877879618E-2</v>
      </c>
    </row>
    <row r="21" spans="1:21" ht="16.5">
      <c r="A21" s="12" t="s">
        <v>128</v>
      </c>
      <c r="B21" s="8" t="s">
        <v>127</v>
      </c>
      <c r="C21" s="49" t="s">
        <v>162</v>
      </c>
      <c r="D21" s="5">
        <f>D22+D23</f>
        <v>39202104</v>
      </c>
      <c r="E21" s="9">
        <f t="shared" ref="E21:O21" si="11">E22+E23</f>
        <v>0</v>
      </c>
      <c r="F21" s="5">
        <f t="shared" si="11"/>
        <v>39202104</v>
      </c>
      <c r="G21" s="4">
        <f t="shared" si="11"/>
        <v>0</v>
      </c>
      <c r="H21" s="16">
        <f t="shared" si="11"/>
        <v>3412196.3728115079</v>
      </c>
      <c r="I21" s="16">
        <f t="shared" si="11"/>
        <v>94549.071204022985</v>
      </c>
      <c r="J21" s="4">
        <f t="shared" si="11"/>
        <v>0</v>
      </c>
      <c r="K21" s="4">
        <f t="shared" si="11"/>
        <v>0</v>
      </c>
      <c r="L21" s="4">
        <f t="shared" si="11"/>
        <v>94549.071204022985</v>
      </c>
      <c r="M21" s="4">
        <f t="shared" si="11"/>
        <v>0</v>
      </c>
      <c r="N21" s="15">
        <f t="shared" si="11"/>
        <v>3317647.3016074849</v>
      </c>
      <c r="O21" s="9">
        <f t="shared" si="11"/>
        <v>42614300.372811511</v>
      </c>
      <c r="P21" s="41">
        <v>0.1</v>
      </c>
      <c r="Q21" s="10"/>
      <c r="R21" s="10"/>
      <c r="S21" s="10"/>
      <c r="T21" s="48">
        <v>0</v>
      </c>
    </row>
    <row r="22" spans="1:21" ht="16.5">
      <c r="A22" s="12" t="s">
        <v>169</v>
      </c>
      <c r="B22" s="8" t="s">
        <v>127</v>
      </c>
      <c r="C22" s="49" t="s">
        <v>162</v>
      </c>
      <c r="D22" s="5">
        <f t="shared" ref="D22:D23" si="12">E22+F22+G22</f>
        <v>39087519</v>
      </c>
      <c r="E22" s="9">
        <v>0</v>
      </c>
      <c r="F22" s="5">
        <v>39087519</v>
      </c>
      <c r="G22" s="4">
        <v>0</v>
      </c>
      <c r="H22" s="16">
        <f t="shared" si="7"/>
        <v>3317647.0804310124</v>
      </c>
      <c r="I22" s="16">
        <f t="shared" ref="I22:I23" si="13">J22+K22+L22+M22</f>
        <v>-0.22117647241495916</v>
      </c>
      <c r="J22" s="4">
        <v>0</v>
      </c>
      <c r="K22" s="4">
        <v>0</v>
      </c>
      <c r="L22" s="68">
        <f>IPF!L20-IPF!L20*'IPF - RW'!$U$20</f>
        <v>-0.22117647241495916</v>
      </c>
      <c r="M22" s="4">
        <v>0</v>
      </c>
      <c r="N22" s="68">
        <f>IPF!N20-IPF!N20*'IPF - RW'!$U$20</f>
        <v>3317647.3016074849</v>
      </c>
      <c r="O22" s="9">
        <f t="shared" ref="O22:O23" si="14">(D22+H22)</f>
        <v>42405166.080431014</v>
      </c>
      <c r="P22" s="41">
        <v>0.1</v>
      </c>
      <c r="Q22" s="10"/>
      <c r="R22" s="10"/>
      <c r="S22" s="10"/>
      <c r="T22" s="48"/>
    </row>
    <row r="23" spans="1:21" ht="16.5">
      <c r="A23" s="12" t="s">
        <v>170</v>
      </c>
      <c r="B23" s="8" t="s">
        <v>127</v>
      </c>
      <c r="C23" s="49" t="s">
        <v>162</v>
      </c>
      <c r="D23" s="5">
        <f t="shared" si="12"/>
        <v>114585</v>
      </c>
      <c r="E23" s="9">
        <v>0</v>
      </c>
      <c r="F23" s="5">
        <v>114585</v>
      </c>
      <c r="G23" s="4">
        <v>0</v>
      </c>
      <c r="H23" s="16">
        <f t="shared" si="7"/>
        <v>94549.292380495404</v>
      </c>
      <c r="I23" s="16">
        <f t="shared" si="13"/>
        <v>94549.292380495404</v>
      </c>
      <c r="J23" s="4">
        <v>0</v>
      </c>
      <c r="K23" s="4">
        <v>0</v>
      </c>
      <c r="L23" s="68">
        <f>IPF!L21-IPF!L21*'IPF - RW'!$U$20</f>
        <v>94549.292380495404</v>
      </c>
      <c r="M23" s="4">
        <v>0</v>
      </c>
      <c r="N23" s="68">
        <f>IPF!N21-IPF!N21*'IPF - RW'!$U$20</f>
        <v>0</v>
      </c>
      <c r="O23" s="9">
        <f t="shared" si="14"/>
        <v>209134.2923804954</v>
      </c>
      <c r="P23" s="41">
        <v>0.1</v>
      </c>
      <c r="Q23" s="10"/>
      <c r="R23" s="10"/>
      <c r="S23" s="10"/>
      <c r="T23" s="48"/>
    </row>
    <row r="24" spans="1:21" s="40" customFormat="1" ht="22.5">
      <c r="A24" s="37" t="s">
        <v>111</v>
      </c>
      <c r="B24" s="36"/>
      <c r="C24" s="49" t="s">
        <v>162</v>
      </c>
      <c r="D24" s="34">
        <f>(D25+D26+D32+D36)</f>
        <v>108005260</v>
      </c>
      <c r="E24" s="34">
        <v>0</v>
      </c>
      <c r="F24" s="34">
        <f>(F25+F26+F32+F36)</f>
        <v>108005260</v>
      </c>
      <c r="G24" s="35">
        <v>0</v>
      </c>
      <c r="H24" s="45" t="e">
        <f t="shared" ref="H24:O24" si="15">(H25+H26+H32+H36)</f>
        <v>#REF!</v>
      </c>
      <c r="I24" s="45" t="e">
        <f t="shared" si="15"/>
        <v>#REF!</v>
      </c>
      <c r="J24" s="35">
        <f t="shared" si="15"/>
        <v>0</v>
      </c>
      <c r="K24" s="35">
        <f t="shared" si="15"/>
        <v>0</v>
      </c>
      <c r="L24" s="35" t="e">
        <f t="shared" si="15"/>
        <v>#REF!</v>
      </c>
      <c r="M24" s="35">
        <f t="shared" si="15"/>
        <v>0</v>
      </c>
      <c r="N24" s="17" t="e">
        <f t="shared" si="15"/>
        <v>#REF!</v>
      </c>
      <c r="O24" s="34" t="e">
        <f t="shared" si="15"/>
        <v>#REF!</v>
      </c>
      <c r="P24" s="42"/>
      <c r="Q24" s="34">
        <f>(D24-R24)</f>
        <v>101524944</v>
      </c>
      <c r="R24" s="38">
        <v>6480316</v>
      </c>
      <c r="S24" s="39">
        <f>(R24/D24)</f>
        <v>6.0000003703523326E-2</v>
      </c>
      <c r="T24" s="47">
        <v>0</v>
      </c>
      <c r="U24" s="80">
        <v>6.0000003703523326E-2</v>
      </c>
    </row>
    <row r="25" spans="1:21" ht="16.5">
      <c r="A25" s="12" t="s">
        <v>113</v>
      </c>
      <c r="B25" s="8" t="s">
        <v>112</v>
      </c>
      <c r="C25" s="49" t="s">
        <v>162</v>
      </c>
      <c r="D25" s="59">
        <f>E25+F25+G25</f>
        <v>17301052</v>
      </c>
      <c r="E25" s="58">
        <v>0</v>
      </c>
      <c r="F25" s="59">
        <v>17301052</v>
      </c>
      <c r="G25" s="56">
        <v>0</v>
      </c>
      <c r="H25" s="55">
        <f>(I25+N25)</f>
        <v>4281229.9278381858</v>
      </c>
      <c r="I25" s="55">
        <f t="shared" ref="I25" si="16">J25+K25+L25+M25</f>
        <v>4281229.9278381858</v>
      </c>
      <c r="J25" s="56">
        <v>0</v>
      </c>
      <c r="K25" s="56">
        <v>0</v>
      </c>
      <c r="L25" s="68">
        <f>IPF!L34-IPF!L34*'IPF - RW'!$U$24</f>
        <v>4281229.9278381858</v>
      </c>
      <c r="M25" s="56">
        <v>0</v>
      </c>
      <c r="N25" s="68">
        <f>IPF!N34-IPF!N34*'IPF - RW'!$U$24</f>
        <v>0</v>
      </c>
      <c r="O25" s="58">
        <f>(D25+H25)</f>
        <v>21582281.927838184</v>
      </c>
      <c r="P25" s="41">
        <v>0.1</v>
      </c>
      <c r="Q25" s="10"/>
      <c r="R25" s="10"/>
      <c r="S25" s="10"/>
      <c r="T25" s="48">
        <v>0</v>
      </c>
    </row>
    <row r="26" spans="1:21" ht="16.5">
      <c r="A26" s="12" t="s">
        <v>115</v>
      </c>
      <c r="B26" s="8" t="s">
        <v>114</v>
      </c>
      <c r="C26" s="49" t="s">
        <v>162</v>
      </c>
      <c r="D26" s="59">
        <f>D27+D28+D29+D30+D31</f>
        <v>50969472</v>
      </c>
      <c r="E26" s="59">
        <f t="shared" ref="E26:O26" si="17">E27+E28+E29+E30+E31</f>
        <v>0</v>
      </c>
      <c r="F26" s="59">
        <f t="shared" si="17"/>
        <v>50969472</v>
      </c>
      <c r="G26" s="59">
        <f t="shared" si="17"/>
        <v>0</v>
      </c>
      <c r="H26" s="72" t="e">
        <f t="shared" si="17"/>
        <v>#REF!</v>
      </c>
      <c r="I26" s="72" t="e">
        <f t="shared" si="17"/>
        <v>#REF!</v>
      </c>
      <c r="J26" s="59">
        <f t="shared" si="17"/>
        <v>0</v>
      </c>
      <c r="K26" s="59">
        <f t="shared" si="17"/>
        <v>0</v>
      </c>
      <c r="L26" s="59" t="e">
        <f t="shared" si="17"/>
        <v>#REF!</v>
      </c>
      <c r="M26" s="59">
        <f t="shared" si="17"/>
        <v>0</v>
      </c>
      <c r="N26" s="72" t="e">
        <f t="shared" si="17"/>
        <v>#REF!</v>
      </c>
      <c r="O26" s="59" t="e">
        <f t="shared" si="17"/>
        <v>#REF!</v>
      </c>
      <c r="P26" s="41">
        <v>0.1</v>
      </c>
      <c r="Q26" s="10"/>
      <c r="R26" s="10"/>
      <c r="S26" s="10"/>
      <c r="T26" s="48">
        <v>0</v>
      </c>
    </row>
    <row r="27" spans="1:21" ht="22.5">
      <c r="A27" s="12" t="s">
        <v>116</v>
      </c>
      <c r="B27" s="8" t="s">
        <v>114</v>
      </c>
      <c r="C27" s="49" t="s">
        <v>162</v>
      </c>
      <c r="D27" s="59">
        <f t="shared" ref="D27:D31" si="18">E27+F27+G27</f>
        <v>30733472</v>
      </c>
      <c r="E27" s="58">
        <v>0</v>
      </c>
      <c r="F27" s="71">
        <v>30733472</v>
      </c>
      <c r="G27" s="56">
        <v>0</v>
      </c>
      <c r="H27" s="55" t="e">
        <f t="shared" si="7"/>
        <v>#REF!</v>
      </c>
      <c r="I27" s="55" t="e">
        <f t="shared" ref="I27:I31" si="19">J27+K27+L27+M27</f>
        <v>#REF!</v>
      </c>
      <c r="J27" s="56">
        <v>0</v>
      </c>
      <c r="K27" s="56">
        <v>0</v>
      </c>
      <c r="L27" s="68" t="e">
        <f>IPF!#REF!-IPF!#REF!*'IPF - RW'!$U$24</f>
        <v>#REF!</v>
      </c>
      <c r="M27" s="56">
        <v>0</v>
      </c>
      <c r="N27" s="68" t="e">
        <f>IPF!#REF!-IPF!#REF!*'IPF - RW'!$U$24</f>
        <v>#REF!</v>
      </c>
      <c r="O27" s="58" t="e">
        <f>(D27+H27)</f>
        <v>#REF!</v>
      </c>
      <c r="P27" s="41">
        <v>0.1</v>
      </c>
      <c r="Q27" s="10"/>
      <c r="R27" s="10"/>
      <c r="S27" s="10"/>
      <c r="T27" s="48">
        <v>0</v>
      </c>
    </row>
    <row r="28" spans="1:21" ht="22.5">
      <c r="A28" s="12" t="s">
        <v>117</v>
      </c>
      <c r="B28" s="8" t="s">
        <v>114</v>
      </c>
      <c r="C28" s="49" t="s">
        <v>162</v>
      </c>
      <c r="D28" s="64">
        <f t="shared" si="18"/>
        <v>5756170</v>
      </c>
      <c r="E28" s="61">
        <v>0</v>
      </c>
      <c r="F28" s="65">
        <v>5756170</v>
      </c>
      <c r="G28" s="60">
        <v>0</v>
      </c>
      <c r="H28" s="62" t="e">
        <f t="shared" si="7"/>
        <v>#REF!</v>
      </c>
      <c r="I28" s="62" t="e">
        <f t="shared" si="19"/>
        <v>#REF!</v>
      </c>
      <c r="J28" s="60">
        <v>0</v>
      </c>
      <c r="K28" s="60">
        <v>0</v>
      </c>
      <c r="L28" s="68" t="e">
        <f>IPF!#REF!-IPF!#REF!*'IPF - RW'!$U$24</f>
        <v>#REF!</v>
      </c>
      <c r="M28" s="60">
        <v>0</v>
      </c>
      <c r="N28" s="68" t="e">
        <f>IPF!#REF!-IPF!#REF!*'IPF - RW'!$U$24</f>
        <v>#REF!</v>
      </c>
      <c r="O28" s="61" t="e">
        <f>(D28+H28)</f>
        <v>#REF!</v>
      </c>
      <c r="P28" s="41">
        <v>0.1</v>
      </c>
      <c r="Q28" s="10"/>
      <c r="R28" s="10"/>
      <c r="S28" s="10"/>
      <c r="T28" s="48">
        <v>0</v>
      </c>
    </row>
    <row r="29" spans="1:21" ht="22.5">
      <c r="A29" s="12" t="s">
        <v>118</v>
      </c>
      <c r="B29" s="8" t="s">
        <v>114</v>
      </c>
      <c r="C29" s="49" t="s">
        <v>162</v>
      </c>
      <c r="D29" s="64">
        <f t="shared" si="18"/>
        <v>8039830</v>
      </c>
      <c r="E29" s="61">
        <v>0</v>
      </c>
      <c r="F29" s="65">
        <v>8039830</v>
      </c>
      <c r="G29" s="60">
        <v>0</v>
      </c>
      <c r="H29" s="62" t="e">
        <f t="shared" si="7"/>
        <v>#REF!</v>
      </c>
      <c r="I29" s="62" t="e">
        <f t="shared" si="19"/>
        <v>#REF!</v>
      </c>
      <c r="J29" s="60">
        <v>0</v>
      </c>
      <c r="K29" s="60">
        <v>0</v>
      </c>
      <c r="L29" s="68" t="e">
        <f>IPF!#REF!-IPF!#REF!*'IPF - RW'!$U$24</f>
        <v>#REF!</v>
      </c>
      <c r="M29" s="60">
        <v>0</v>
      </c>
      <c r="N29" s="68" t="e">
        <f>IPF!#REF!-IPF!#REF!*'IPF - RW'!$U$24</f>
        <v>#REF!</v>
      </c>
      <c r="O29" s="61" t="e">
        <f>(D29+H29)</f>
        <v>#REF!</v>
      </c>
      <c r="P29" s="41">
        <v>0.1</v>
      </c>
      <c r="Q29" s="10"/>
      <c r="R29" s="10"/>
      <c r="S29" s="10"/>
      <c r="T29" s="48">
        <v>0</v>
      </c>
    </row>
    <row r="30" spans="1:21" ht="22.5">
      <c r="A30" s="12" t="s">
        <v>171</v>
      </c>
      <c r="B30" s="8" t="s">
        <v>114</v>
      </c>
      <c r="C30" s="49" t="s">
        <v>162</v>
      </c>
      <c r="D30" s="64">
        <f t="shared" si="18"/>
        <v>4140000</v>
      </c>
      <c r="E30" s="61">
        <v>0</v>
      </c>
      <c r="F30" s="65">
        <v>4140000</v>
      </c>
      <c r="G30" s="60">
        <v>0</v>
      </c>
      <c r="H30" s="62" t="e">
        <f t="shared" si="7"/>
        <v>#REF!</v>
      </c>
      <c r="I30" s="62" t="e">
        <f t="shared" si="19"/>
        <v>#REF!</v>
      </c>
      <c r="J30" s="60">
        <v>0</v>
      </c>
      <c r="K30" s="60">
        <v>0</v>
      </c>
      <c r="L30" s="68" t="e">
        <f>IPF!#REF!-IPF!#REF!*'IPF - RW'!$U$24</f>
        <v>#REF!</v>
      </c>
      <c r="M30" s="60">
        <v>0</v>
      </c>
      <c r="N30" s="68" t="e">
        <f>IPF!#REF!-IPF!#REF!*'IPF - RW'!$U$24</f>
        <v>#REF!</v>
      </c>
      <c r="O30" s="61" t="e">
        <f>(D30+H30)</f>
        <v>#REF!</v>
      </c>
      <c r="P30" s="66"/>
      <c r="Q30" s="10"/>
      <c r="R30" s="10"/>
      <c r="S30" s="10"/>
      <c r="T30" s="48"/>
    </row>
    <row r="31" spans="1:21" ht="22.5">
      <c r="A31" s="73" t="s">
        <v>172</v>
      </c>
      <c r="B31" s="74" t="s">
        <v>114</v>
      </c>
      <c r="C31" s="75" t="s">
        <v>162</v>
      </c>
      <c r="D31" s="59">
        <f t="shared" si="18"/>
        <v>2300000</v>
      </c>
      <c r="E31" s="58">
        <v>0</v>
      </c>
      <c r="F31" s="71">
        <v>2300000</v>
      </c>
      <c r="G31" s="56">
        <v>0</v>
      </c>
      <c r="H31" s="55" t="e">
        <f t="shared" si="7"/>
        <v>#REF!</v>
      </c>
      <c r="I31" s="55" t="e">
        <f t="shared" si="19"/>
        <v>#REF!</v>
      </c>
      <c r="J31" s="56">
        <v>0</v>
      </c>
      <c r="K31" s="56">
        <v>0</v>
      </c>
      <c r="L31" s="68" t="e">
        <f>IPF!#REF!-IPF!#REF!*'IPF - RW'!$U$24</f>
        <v>#REF!</v>
      </c>
      <c r="M31" s="56">
        <v>0</v>
      </c>
      <c r="N31" s="68" t="e">
        <f>IPF!#REF!-IPF!#REF!*'IPF - RW'!$U$24</f>
        <v>#REF!</v>
      </c>
      <c r="O31" s="58" t="e">
        <f>(D31+H31)</f>
        <v>#REF!</v>
      </c>
      <c r="P31" s="66"/>
      <c r="Q31" s="10"/>
      <c r="R31" s="10"/>
      <c r="S31" s="10"/>
      <c r="T31" s="48"/>
    </row>
    <row r="32" spans="1:21" ht="16.5">
      <c r="A32" s="12" t="s">
        <v>120</v>
      </c>
      <c r="B32" s="8" t="s">
        <v>119</v>
      </c>
      <c r="C32" s="49" t="s">
        <v>162</v>
      </c>
      <c r="D32" s="5">
        <f>D33+D34+D35</f>
        <v>36134736</v>
      </c>
      <c r="E32" s="9">
        <v>0</v>
      </c>
      <c r="F32" s="5">
        <f>F33+F34+F35</f>
        <v>36134736</v>
      </c>
      <c r="G32" s="4">
        <v>0</v>
      </c>
      <c r="H32" s="16" t="e">
        <f t="shared" ref="H32:O32" si="20">H33+H34+H35</f>
        <v>#REF!</v>
      </c>
      <c r="I32" s="16" t="e">
        <f t="shared" si="20"/>
        <v>#REF!</v>
      </c>
      <c r="J32" s="4">
        <f t="shared" si="20"/>
        <v>0</v>
      </c>
      <c r="K32" s="4">
        <f t="shared" si="20"/>
        <v>0</v>
      </c>
      <c r="L32" s="4" t="e">
        <f t="shared" si="20"/>
        <v>#REF!</v>
      </c>
      <c r="M32" s="4">
        <f t="shared" si="20"/>
        <v>0</v>
      </c>
      <c r="N32" s="15" t="e">
        <f t="shared" si="20"/>
        <v>#REF!</v>
      </c>
      <c r="O32" s="9" t="e">
        <f t="shared" si="20"/>
        <v>#REF!</v>
      </c>
      <c r="P32" s="41">
        <v>0.1</v>
      </c>
      <c r="Q32" s="10"/>
      <c r="R32" s="10"/>
      <c r="S32" s="10"/>
      <c r="T32" s="48">
        <v>0</v>
      </c>
    </row>
    <row r="33" spans="1:21" ht="22.5">
      <c r="A33" s="12" t="s">
        <v>123</v>
      </c>
      <c r="B33" s="8" t="s">
        <v>119</v>
      </c>
      <c r="C33" s="49" t="s">
        <v>162</v>
      </c>
      <c r="D33" s="5">
        <f t="shared" ref="D33:D35" si="21">E33+F33+G33</f>
        <v>17934746</v>
      </c>
      <c r="E33" s="9">
        <v>0</v>
      </c>
      <c r="F33" s="5">
        <v>17934746</v>
      </c>
      <c r="G33" s="4">
        <v>0</v>
      </c>
      <c r="H33" s="16" t="e">
        <f t="shared" si="7"/>
        <v>#REF!</v>
      </c>
      <c r="I33" s="16" t="e">
        <f t="shared" ref="I33:I47" si="22">J33+K33+L33+M33</f>
        <v>#REF!</v>
      </c>
      <c r="J33" s="4">
        <v>0</v>
      </c>
      <c r="K33" s="4">
        <v>0</v>
      </c>
      <c r="L33" s="68" t="e">
        <f>IPF!#REF!-IPF!#REF!*'IPF - RW'!$U$24</f>
        <v>#REF!</v>
      </c>
      <c r="M33" s="4">
        <v>0</v>
      </c>
      <c r="N33" s="68" t="e">
        <f>IPF!#REF!-IPF!#REF!*'IPF - RW'!$U$24</f>
        <v>#REF!</v>
      </c>
      <c r="O33" s="9" t="e">
        <f>(D33+H33)</f>
        <v>#REF!</v>
      </c>
      <c r="P33" s="41">
        <v>0.1</v>
      </c>
      <c r="Q33" s="10"/>
      <c r="R33" s="10"/>
      <c r="S33" s="10"/>
      <c r="T33" s="48">
        <v>0</v>
      </c>
    </row>
    <row r="34" spans="1:21" ht="22.5">
      <c r="A34" s="12" t="s">
        <v>122</v>
      </c>
      <c r="B34" s="8" t="s">
        <v>119</v>
      </c>
      <c r="C34" s="49" t="s">
        <v>162</v>
      </c>
      <c r="D34" s="5">
        <f t="shared" si="21"/>
        <v>7169750</v>
      </c>
      <c r="E34" s="9">
        <v>0</v>
      </c>
      <c r="F34" s="5">
        <v>7169750</v>
      </c>
      <c r="G34" s="4">
        <v>0</v>
      </c>
      <c r="H34" s="16" t="e">
        <f t="shared" si="7"/>
        <v>#REF!</v>
      </c>
      <c r="I34" s="16" t="e">
        <f t="shared" si="22"/>
        <v>#REF!</v>
      </c>
      <c r="J34" s="4">
        <v>0</v>
      </c>
      <c r="K34" s="4">
        <v>0</v>
      </c>
      <c r="L34" s="68" t="e">
        <f>IPF!#REF!-IPF!#REF!*'IPF - RW'!$U$24</f>
        <v>#REF!</v>
      </c>
      <c r="M34" s="4">
        <v>0</v>
      </c>
      <c r="N34" s="68" t="e">
        <f>IPF!#REF!-IPF!#REF!*'IPF - RW'!$U$24</f>
        <v>#REF!</v>
      </c>
      <c r="O34" s="9" t="e">
        <f>(D34+H34)</f>
        <v>#REF!</v>
      </c>
      <c r="P34" s="41">
        <v>0.1</v>
      </c>
      <c r="Q34" s="10"/>
      <c r="R34" s="10"/>
      <c r="S34" s="10"/>
      <c r="T34" s="48">
        <v>0</v>
      </c>
    </row>
    <row r="35" spans="1:21" ht="22.5">
      <c r="A35" s="12" t="s">
        <v>121</v>
      </c>
      <c r="B35" s="8" t="s">
        <v>119</v>
      </c>
      <c r="C35" s="49" t="s">
        <v>162</v>
      </c>
      <c r="D35" s="5">
        <f t="shared" si="21"/>
        <v>11030240</v>
      </c>
      <c r="E35" s="9">
        <v>0</v>
      </c>
      <c r="F35" s="5">
        <v>11030240</v>
      </c>
      <c r="G35" s="4">
        <v>0</v>
      </c>
      <c r="H35" s="16" t="e">
        <f t="shared" si="7"/>
        <v>#REF!</v>
      </c>
      <c r="I35" s="16" t="e">
        <f t="shared" si="22"/>
        <v>#REF!</v>
      </c>
      <c r="J35" s="4">
        <v>0</v>
      </c>
      <c r="K35" s="4">
        <v>0</v>
      </c>
      <c r="L35" s="68" t="e">
        <f>IPF!#REF!-IPF!#REF!*'IPF - RW'!$U$24</f>
        <v>#REF!</v>
      </c>
      <c r="M35" s="4">
        <v>0</v>
      </c>
      <c r="N35" s="68" t="e">
        <f>IPF!#REF!-IPF!#REF!*'IPF - RW'!$U$24</f>
        <v>#REF!</v>
      </c>
      <c r="O35" s="9" t="e">
        <f>(D35+H35)</f>
        <v>#REF!</v>
      </c>
      <c r="P35" s="41">
        <v>0.1</v>
      </c>
      <c r="Q35" s="10"/>
      <c r="R35" s="10"/>
      <c r="S35" s="10"/>
      <c r="T35" s="48">
        <v>0</v>
      </c>
    </row>
    <row r="36" spans="1:21" ht="16.5">
      <c r="A36" s="12" t="s">
        <v>124</v>
      </c>
      <c r="B36" s="8" t="s">
        <v>125</v>
      </c>
      <c r="C36" s="49" t="s">
        <v>162</v>
      </c>
      <c r="D36" s="59">
        <f>E36+F36+G36</f>
        <v>3600000</v>
      </c>
      <c r="E36" s="58">
        <v>0</v>
      </c>
      <c r="F36" s="59">
        <v>3600000</v>
      </c>
      <c r="G36" s="56">
        <v>0</v>
      </c>
      <c r="H36" s="55" t="e">
        <f t="shared" si="7"/>
        <v>#REF!</v>
      </c>
      <c r="I36" s="55" t="e">
        <f t="shared" si="22"/>
        <v>#REF!</v>
      </c>
      <c r="J36" s="56">
        <v>0</v>
      </c>
      <c r="K36" s="56">
        <v>0</v>
      </c>
      <c r="L36" s="68" t="e">
        <f>IPF!#REF!-IPF!#REF!*'IPF - RW'!$U$24</f>
        <v>#REF!</v>
      </c>
      <c r="M36" s="56">
        <v>0</v>
      </c>
      <c r="N36" s="68" t="e">
        <f>IPF!#REF!-IPF!#REF!*'IPF - RW'!$U$24</f>
        <v>#REF!</v>
      </c>
      <c r="O36" s="58" t="e">
        <f>(D36+H36)</f>
        <v>#REF!</v>
      </c>
      <c r="P36" s="41">
        <v>0</v>
      </c>
      <c r="Q36" s="10"/>
      <c r="R36" s="10"/>
      <c r="S36" s="10"/>
      <c r="T36" s="48">
        <v>0</v>
      </c>
    </row>
    <row r="37" spans="1:21" s="40" customFormat="1" ht="22.5">
      <c r="A37" s="37" t="s">
        <v>96</v>
      </c>
      <c r="B37" s="36"/>
      <c r="C37" s="49" t="s">
        <v>162</v>
      </c>
      <c r="D37" s="70">
        <f>(D38+D39+D40+D41+D45)</f>
        <v>91538944.200000003</v>
      </c>
      <c r="E37" s="70">
        <v>0</v>
      </c>
      <c r="F37" s="70">
        <f t="shared" ref="F37" si="23">(F38+F39+F40+F41+F45)</f>
        <v>91538944.200000003</v>
      </c>
      <c r="G37" s="68">
        <v>0</v>
      </c>
      <c r="H37" s="67" t="e">
        <f t="shared" ref="H37:O37" si="24">(H38+H39+H40+H41+H45)</f>
        <v>#REF!</v>
      </c>
      <c r="I37" s="67" t="e">
        <f t="shared" si="24"/>
        <v>#REF!</v>
      </c>
      <c r="J37" s="68" t="e">
        <f t="shared" si="24"/>
        <v>#REF!</v>
      </c>
      <c r="K37" s="68">
        <f t="shared" si="24"/>
        <v>0</v>
      </c>
      <c r="L37" s="68" t="e">
        <f t="shared" si="24"/>
        <v>#REF!</v>
      </c>
      <c r="M37" s="68" t="e">
        <f t="shared" si="24"/>
        <v>#REF!</v>
      </c>
      <c r="N37" s="69" t="e">
        <f t="shared" si="24"/>
        <v>#REF!</v>
      </c>
      <c r="O37" s="70" t="e">
        <f t="shared" si="24"/>
        <v>#REF!</v>
      </c>
      <c r="P37" s="42"/>
      <c r="Q37" s="70">
        <f>(D37-R37)</f>
        <v>86320928.200000003</v>
      </c>
      <c r="R37" s="78">
        <v>5218016</v>
      </c>
      <c r="S37" s="79">
        <f>(R37/D37)</f>
        <v>5.7003235569326127E-2</v>
      </c>
      <c r="T37" s="47">
        <v>0</v>
      </c>
      <c r="U37" s="80">
        <v>5.7003235693870356E-2</v>
      </c>
    </row>
    <row r="38" spans="1:21" ht="16.5">
      <c r="A38" s="12" t="s">
        <v>98</v>
      </c>
      <c r="B38" s="8" t="s">
        <v>97</v>
      </c>
      <c r="C38" s="49" t="s">
        <v>162</v>
      </c>
      <c r="D38" s="59">
        <f t="shared" ref="D38:D40" si="25">E38+F38+G38</f>
        <v>23834736</v>
      </c>
      <c r="E38" s="58">
        <v>0</v>
      </c>
      <c r="F38" s="59">
        <v>23834736</v>
      </c>
      <c r="G38" s="56">
        <v>0</v>
      </c>
      <c r="H38" s="55">
        <f t="shared" si="7"/>
        <v>12543265.691496603</v>
      </c>
      <c r="I38" s="55">
        <f t="shared" si="22"/>
        <v>12543265.691496603</v>
      </c>
      <c r="J38" s="56">
        <v>0</v>
      </c>
      <c r="K38" s="56">
        <v>0</v>
      </c>
      <c r="L38" s="68">
        <f>IPF!L38-IPF!L38*'IPF - RW'!$U$37</f>
        <v>12543265.691496603</v>
      </c>
      <c r="M38" s="56">
        <v>0</v>
      </c>
      <c r="N38" s="57">
        <v>0</v>
      </c>
      <c r="O38" s="58">
        <f>(D38+H38)</f>
        <v>36378001.691496603</v>
      </c>
      <c r="P38" s="41">
        <v>0</v>
      </c>
      <c r="Q38" s="10"/>
      <c r="R38" s="10"/>
      <c r="S38" s="10"/>
      <c r="T38" s="48">
        <v>0</v>
      </c>
    </row>
    <row r="39" spans="1:21" ht="16.5">
      <c r="A39" s="12" t="s">
        <v>101</v>
      </c>
      <c r="B39" s="8" t="s">
        <v>99</v>
      </c>
      <c r="C39" s="49" t="s">
        <v>162</v>
      </c>
      <c r="D39" s="59">
        <f t="shared" si="25"/>
        <v>6233684</v>
      </c>
      <c r="E39" s="58">
        <v>0</v>
      </c>
      <c r="F39" s="59">
        <v>6233684</v>
      </c>
      <c r="G39" s="56">
        <v>0</v>
      </c>
      <c r="H39" s="55">
        <f t="shared" si="7"/>
        <v>6035929.5286908327</v>
      </c>
      <c r="I39" s="55">
        <f t="shared" si="22"/>
        <v>6035929.5286908327</v>
      </c>
      <c r="J39" s="56">
        <v>0</v>
      </c>
      <c r="K39" s="56">
        <v>0</v>
      </c>
      <c r="L39" s="68">
        <f>IPF!L39-IPF!L39*'IPF - RW'!$U$37</f>
        <v>6035929.5286908327</v>
      </c>
      <c r="M39" s="68">
        <f>IPF!M39-IPF!M39*'IPF - RW'!$U$37</f>
        <v>0</v>
      </c>
      <c r="N39" s="68">
        <f>IPF!N39-IPF!N39*'IPF - RW'!$U$37</f>
        <v>0</v>
      </c>
      <c r="O39" s="58">
        <f>(D39+H39)</f>
        <v>12269613.528690834</v>
      </c>
      <c r="P39" s="41">
        <v>0</v>
      </c>
      <c r="Q39" s="10"/>
      <c r="R39" s="10"/>
      <c r="S39" s="10"/>
      <c r="T39" s="48">
        <v>0</v>
      </c>
    </row>
    <row r="40" spans="1:21" ht="16.5">
      <c r="A40" s="12" t="s">
        <v>102</v>
      </c>
      <c r="B40" s="8" t="s">
        <v>100</v>
      </c>
      <c r="C40" s="49" t="s">
        <v>162</v>
      </c>
      <c r="D40" s="5">
        <f t="shared" si="25"/>
        <v>30668420</v>
      </c>
      <c r="E40" s="9">
        <v>0</v>
      </c>
      <c r="F40" s="5">
        <v>30668420</v>
      </c>
      <c r="G40" s="4">
        <v>0</v>
      </c>
      <c r="H40" s="16" t="e">
        <f t="shared" si="7"/>
        <v>#REF!</v>
      </c>
      <c r="I40" s="16" t="e">
        <f t="shared" si="22"/>
        <v>#REF!</v>
      </c>
      <c r="J40" s="4">
        <v>0</v>
      </c>
      <c r="K40" s="4">
        <v>0</v>
      </c>
      <c r="L40" s="68" t="e">
        <f>IPF!#REF!-IPF!#REF!*'IPF - RW'!$U$37</f>
        <v>#REF!</v>
      </c>
      <c r="M40" s="68" t="e">
        <f>IPF!#REF!-IPF!#REF!*'IPF - RW'!$U$37</f>
        <v>#REF!</v>
      </c>
      <c r="N40" s="68" t="e">
        <f>IPF!#REF!-IPF!#REF!*'IPF - RW'!$U$37</f>
        <v>#REF!</v>
      </c>
      <c r="O40" s="9" t="e">
        <f>(D40+H40)</f>
        <v>#REF!</v>
      </c>
      <c r="P40" s="41">
        <v>0</v>
      </c>
      <c r="Q40" s="10"/>
      <c r="R40" s="10"/>
      <c r="S40" s="10"/>
      <c r="T40" s="48">
        <v>0</v>
      </c>
    </row>
    <row r="41" spans="1:21" ht="16.5">
      <c r="A41" s="12" t="s">
        <v>104</v>
      </c>
      <c r="B41" s="8" t="s">
        <v>103</v>
      </c>
      <c r="C41" s="49" t="s">
        <v>162</v>
      </c>
      <c r="D41" s="59">
        <f>D42+D43+D44</f>
        <v>21968420.199999999</v>
      </c>
      <c r="E41" s="58">
        <v>0</v>
      </c>
      <c r="F41" s="59">
        <f>F42+F43+F44</f>
        <v>21968420.199999999</v>
      </c>
      <c r="G41" s="56">
        <v>0</v>
      </c>
      <c r="H41" s="55" t="e">
        <f t="shared" ref="H41:O41" si="26">H42+H43+H44</f>
        <v>#REF!</v>
      </c>
      <c r="I41" s="55" t="e">
        <f t="shared" si="26"/>
        <v>#REF!</v>
      </c>
      <c r="J41" s="56" t="e">
        <f t="shared" si="26"/>
        <v>#REF!</v>
      </c>
      <c r="K41" s="56">
        <f t="shared" si="26"/>
        <v>0</v>
      </c>
      <c r="L41" s="56" t="e">
        <f t="shared" si="26"/>
        <v>#REF!</v>
      </c>
      <c r="M41" s="56" t="e">
        <f t="shared" si="26"/>
        <v>#REF!</v>
      </c>
      <c r="N41" s="57" t="e">
        <f t="shared" si="26"/>
        <v>#REF!</v>
      </c>
      <c r="O41" s="58" t="e">
        <f t="shared" si="26"/>
        <v>#REF!</v>
      </c>
      <c r="P41" s="41">
        <v>0</v>
      </c>
      <c r="Q41" s="10"/>
      <c r="R41" s="10"/>
      <c r="S41" s="10"/>
      <c r="T41" s="48">
        <v>0</v>
      </c>
    </row>
    <row r="42" spans="1:21" ht="22.5">
      <c r="A42" s="12" t="s">
        <v>105</v>
      </c>
      <c r="B42" s="8" t="s">
        <v>103</v>
      </c>
      <c r="C42" s="49" t="s">
        <v>162</v>
      </c>
      <c r="D42" s="59">
        <f t="shared" ref="D42:D44" si="27">E42+F42+G42</f>
        <v>15968420.199999999</v>
      </c>
      <c r="E42" s="58">
        <v>0</v>
      </c>
      <c r="F42" s="59">
        <v>15968420.199999999</v>
      </c>
      <c r="G42" s="56">
        <v>0</v>
      </c>
      <c r="H42" s="55" t="e">
        <f t="shared" si="7"/>
        <v>#REF!</v>
      </c>
      <c r="I42" s="55" t="e">
        <f t="shared" si="22"/>
        <v>#REF!</v>
      </c>
      <c r="J42" s="68" t="e">
        <f>IPF!#REF!-IPF!#REF!*'IPF - RW'!$U$37</f>
        <v>#REF!</v>
      </c>
      <c r="K42" s="56">
        <v>0</v>
      </c>
      <c r="L42" s="68" t="e">
        <f>IPF!#REF!-IPF!#REF!*'IPF - RW'!$U$37</f>
        <v>#REF!</v>
      </c>
      <c r="M42" s="68" t="e">
        <f>IPF!#REF!-IPF!#REF!*'IPF - RW'!$U$37</f>
        <v>#REF!</v>
      </c>
      <c r="N42" s="68" t="e">
        <f>IPF!#REF!-IPF!#REF!*'IPF - RW'!$U$37</f>
        <v>#REF!</v>
      </c>
      <c r="O42" s="58" t="e">
        <f t="shared" ref="O42:O47" si="28">(D42+H42)</f>
        <v>#REF!</v>
      </c>
      <c r="P42" s="41">
        <v>0</v>
      </c>
      <c r="Q42" s="10"/>
      <c r="R42" s="10"/>
      <c r="S42" s="10"/>
      <c r="T42" s="48">
        <v>0</v>
      </c>
    </row>
    <row r="43" spans="1:21" ht="22.5">
      <c r="A43" s="12" t="s">
        <v>106</v>
      </c>
      <c r="B43" s="8" t="s">
        <v>103</v>
      </c>
      <c r="C43" s="49" t="s">
        <v>162</v>
      </c>
      <c r="D43" s="5">
        <f t="shared" si="27"/>
        <v>2745000</v>
      </c>
      <c r="E43" s="9">
        <v>0</v>
      </c>
      <c r="F43" s="5">
        <v>2745000</v>
      </c>
      <c r="G43" s="4">
        <v>0</v>
      </c>
      <c r="H43" s="16" t="e">
        <f t="shared" si="7"/>
        <v>#REF!</v>
      </c>
      <c r="I43" s="16" t="e">
        <f t="shared" si="22"/>
        <v>#REF!</v>
      </c>
      <c r="J43" s="4">
        <v>0</v>
      </c>
      <c r="K43" s="4">
        <v>0</v>
      </c>
      <c r="L43" s="68" t="e">
        <f>IPF!#REF!-IPF!#REF!*'IPF - RW'!$U$37</f>
        <v>#REF!</v>
      </c>
      <c r="M43" s="68" t="e">
        <f>IPF!#REF!-IPF!#REF!*'IPF - RW'!$U$37</f>
        <v>#REF!</v>
      </c>
      <c r="N43" s="68" t="e">
        <f>IPF!#REF!-IPF!#REF!*'IPF - RW'!$U$37</f>
        <v>#REF!</v>
      </c>
      <c r="O43" s="9" t="e">
        <f t="shared" si="28"/>
        <v>#REF!</v>
      </c>
      <c r="P43" s="41">
        <v>0</v>
      </c>
      <c r="Q43" s="10"/>
      <c r="R43" s="10"/>
      <c r="S43" s="10"/>
      <c r="T43" s="48">
        <v>0</v>
      </c>
    </row>
    <row r="44" spans="1:21" ht="22.5">
      <c r="A44" s="12" t="s">
        <v>161</v>
      </c>
      <c r="B44" s="8" t="s">
        <v>103</v>
      </c>
      <c r="C44" s="49" t="s">
        <v>162</v>
      </c>
      <c r="D44" s="5">
        <f t="shared" si="27"/>
        <v>3255000</v>
      </c>
      <c r="E44" s="9">
        <v>0</v>
      </c>
      <c r="F44" s="5">
        <v>3255000</v>
      </c>
      <c r="G44" s="4">
        <v>0</v>
      </c>
      <c r="H44" s="16" t="e">
        <f t="shared" si="7"/>
        <v>#REF!</v>
      </c>
      <c r="I44" s="16" t="e">
        <f t="shared" si="22"/>
        <v>#REF!</v>
      </c>
      <c r="J44" s="4">
        <v>0</v>
      </c>
      <c r="K44" s="4">
        <v>0</v>
      </c>
      <c r="L44" s="68" t="e">
        <f>IPF!#REF!-IPF!#REF!*'IPF - RW'!$U$37</f>
        <v>#REF!</v>
      </c>
      <c r="M44" s="68" t="e">
        <f>IPF!#REF!-IPF!#REF!*'IPF - RW'!$U$37</f>
        <v>#REF!</v>
      </c>
      <c r="N44" s="68" t="e">
        <f>IPF!#REF!-IPF!#REF!*'IPF - RW'!$U$37</f>
        <v>#REF!</v>
      </c>
      <c r="O44" s="9" t="e">
        <f t="shared" si="28"/>
        <v>#REF!</v>
      </c>
      <c r="P44" s="41">
        <v>0</v>
      </c>
      <c r="Q44" s="10"/>
      <c r="R44" s="10"/>
      <c r="S44" s="10"/>
      <c r="T44" s="48">
        <v>0</v>
      </c>
    </row>
    <row r="45" spans="1:21" ht="16.5">
      <c r="A45" s="12" t="s">
        <v>108</v>
      </c>
      <c r="B45" s="8" t="s">
        <v>107</v>
      </c>
      <c r="C45" s="49" t="s">
        <v>162</v>
      </c>
      <c r="D45" s="59">
        <f>D46+D47</f>
        <v>8833684</v>
      </c>
      <c r="E45" s="58">
        <v>0</v>
      </c>
      <c r="F45" s="59">
        <f>F46+F47</f>
        <v>8833684</v>
      </c>
      <c r="G45" s="56">
        <v>0</v>
      </c>
      <c r="H45" s="55" t="e">
        <f t="shared" ref="H45:N45" si="29">H46+H47</f>
        <v>#REF!</v>
      </c>
      <c r="I45" s="55" t="e">
        <f t="shared" si="29"/>
        <v>#REF!</v>
      </c>
      <c r="J45" s="56">
        <f t="shared" si="29"/>
        <v>0</v>
      </c>
      <c r="K45" s="56">
        <f t="shared" si="29"/>
        <v>0</v>
      </c>
      <c r="L45" s="56" t="e">
        <f t="shared" si="29"/>
        <v>#REF!</v>
      </c>
      <c r="M45" s="56">
        <f t="shared" si="29"/>
        <v>0</v>
      </c>
      <c r="N45" s="57">
        <f t="shared" si="29"/>
        <v>0</v>
      </c>
      <c r="O45" s="58" t="e">
        <f t="shared" si="28"/>
        <v>#REF!</v>
      </c>
      <c r="P45" s="41">
        <v>0.1</v>
      </c>
      <c r="Q45" s="10"/>
      <c r="R45" s="10"/>
      <c r="S45" s="10"/>
      <c r="T45" s="48">
        <v>0</v>
      </c>
    </row>
    <row r="46" spans="1:21" ht="22.5">
      <c r="A46" s="12" t="s">
        <v>109</v>
      </c>
      <c r="B46" s="8" t="s">
        <v>107</v>
      </c>
      <c r="C46" s="49" t="s">
        <v>162</v>
      </c>
      <c r="D46" s="59">
        <f t="shared" ref="D46:D47" si="30">E46+F46+G46</f>
        <v>5288989</v>
      </c>
      <c r="E46" s="58">
        <v>0</v>
      </c>
      <c r="F46" s="59">
        <v>5288989</v>
      </c>
      <c r="G46" s="56">
        <v>0</v>
      </c>
      <c r="H46" s="55" t="e">
        <f t="shared" si="7"/>
        <v>#REF!</v>
      </c>
      <c r="I46" s="55" t="e">
        <f t="shared" si="22"/>
        <v>#REF!</v>
      </c>
      <c r="J46" s="56">
        <v>0</v>
      </c>
      <c r="K46" s="56">
        <v>0</v>
      </c>
      <c r="L46" s="68" t="e">
        <f>IPF!#REF!-IPF!#REF!*'IPF - RW'!$U$37</f>
        <v>#REF!</v>
      </c>
      <c r="M46" s="56">
        <v>0</v>
      </c>
      <c r="N46" s="57">
        <v>0</v>
      </c>
      <c r="O46" s="58" t="e">
        <f t="shared" si="28"/>
        <v>#REF!</v>
      </c>
      <c r="P46" s="41">
        <v>0.1</v>
      </c>
      <c r="Q46" s="10"/>
      <c r="R46" s="10"/>
      <c r="S46" s="10"/>
      <c r="T46" s="48">
        <v>0</v>
      </c>
    </row>
    <row r="47" spans="1:21" ht="22.5">
      <c r="A47" s="12" t="s">
        <v>110</v>
      </c>
      <c r="B47" s="8" t="s">
        <v>107</v>
      </c>
      <c r="C47" s="49" t="s">
        <v>162</v>
      </c>
      <c r="D47" s="5">
        <f t="shared" si="30"/>
        <v>3544695</v>
      </c>
      <c r="E47" s="9">
        <v>0</v>
      </c>
      <c r="F47" s="51">
        <v>3544695</v>
      </c>
      <c r="G47" s="4">
        <v>0</v>
      </c>
      <c r="H47" s="16" t="e">
        <f t="shared" si="7"/>
        <v>#REF!</v>
      </c>
      <c r="I47" s="16" t="e">
        <f t="shared" si="22"/>
        <v>#REF!</v>
      </c>
      <c r="J47" s="4">
        <v>0</v>
      </c>
      <c r="K47" s="4">
        <v>0</v>
      </c>
      <c r="L47" s="68" t="e">
        <f>IPF!#REF!-IPF!#REF!*'IPF - RW'!$U$37</f>
        <v>#REF!</v>
      </c>
      <c r="M47" s="4">
        <v>0</v>
      </c>
      <c r="N47" s="15">
        <v>0</v>
      </c>
      <c r="O47" s="9" t="e">
        <f t="shared" si="28"/>
        <v>#REF!</v>
      </c>
      <c r="P47" s="41">
        <v>0.1</v>
      </c>
      <c r="Q47" s="10"/>
      <c r="R47" s="10"/>
      <c r="S47" s="10"/>
      <c r="T47" s="48">
        <v>0</v>
      </c>
    </row>
    <row r="48" spans="1:21" s="40" customFormat="1" ht="22.5">
      <c r="A48" s="37" t="s">
        <v>88</v>
      </c>
      <c r="B48" s="36"/>
      <c r="C48" s="49" t="s">
        <v>162</v>
      </c>
      <c r="D48" s="34">
        <f>(D49+D53)</f>
        <v>136055371</v>
      </c>
      <c r="E48" s="34">
        <v>0</v>
      </c>
      <c r="F48" s="34">
        <f t="shared" ref="F48" si="31">(F49+F53)</f>
        <v>136055371</v>
      </c>
      <c r="G48" s="35">
        <v>0</v>
      </c>
      <c r="H48" s="67" t="e">
        <f t="shared" ref="H48:O48" si="32">(H49+H53)</f>
        <v>#REF!</v>
      </c>
      <c r="I48" s="67" t="e">
        <f t="shared" si="32"/>
        <v>#REF!</v>
      </c>
      <c r="J48" s="68" t="e">
        <f t="shared" si="32"/>
        <v>#REF!</v>
      </c>
      <c r="K48" s="68" t="e">
        <f t="shared" si="32"/>
        <v>#REF!</v>
      </c>
      <c r="L48" s="68">
        <f t="shared" si="32"/>
        <v>10246440.606455408</v>
      </c>
      <c r="M48" s="68">
        <f t="shared" si="32"/>
        <v>0</v>
      </c>
      <c r="N48" s="69">
        <f t="shared" si="32"/>
        <v>0</v>
      </c>
      <c r="O48" s="70" t="e">
        <f t="shared" si="32"/>
        <v>#REF!</v>
      </c>
      <c r="P48" s="42"/>
      <c r="Q48" s="70">
        <f>(D48-R48)</f>
        <v>126535577</v>
      </c>
      <c r="R48" s="78">
        <v>9519794</v>
      </c>
      <c r="S48" s="39">
        <f>(R48/D48)</f>
        <v>6.9969997729821334E-2</v>
      </c>
      <c r="T48" s="47">
        <v>0</v>
      </c>
      <c r="U48" s="80">
        <v>6.9969997729821334E-2</v>
      </c>
    </row>
    <row r="49" spans="1:21" ht="16.5">
      <c r="A49" s="12" t="s">
        <v>91</v>
      </c>
      <c r="B49" s="8" t="s">
        <v>89</v>
      </c>
      <c r="C49" s="49" t="s">
        <v>162</v>
      </c>
      <c r="D49" s="5">
        <f>D50+D51+D52</f>
        <v>94704559</v>
      </c>
      <c r="E49" s="9">
        <v>0</v>
      </c>
      <c r="F49" s="5">
        <f>F50+F51+F52</f>
        <v>94704559</v>
      </c>
      <c r="G49" s="4">
        <v>0</v>
      </c>
      <c r="H49" s="16" t="e">
        <f t="shared" ref="H49:O49" si="33">H50+H51+H52</f>
        <v>#REF!</v>
      </c>
      <c r="I49" s="16" t="e">
        <f t="shared" si="33"/>
        <v>#REF!</v>
      </c>
      <c r="J49" s="56">
        <f t="shared" si="33"/>
        <v>0</v>
      </c>
      <c r="K49" s="56" t="e">
        <f t="shared" si="33"/>
        <v>#REF!</v>
      </c>
      <c r="L49" s="56">
        <f t="shared" si="33"/>
        <v>10246440.606455408</v>
      </c>
      <c r="M49" s="56">
        <f t="shared" si="33"/>
        <v>0</v>
      </c>
      <c r="N49" s="57">
        <f t="shared" si="33"/>
        <v>0</v>
      </c>
      <c r="O49" s="58" t="e">
        <f t="shared" si="33"/>
        <v>#REF!</v>
      </c>
      <c r="P49" s="41">
        <v>0</v>
      </c>
      <c r="Q49" s="10"/>
      <c r="R49" s="10"/>
      <c r="S49" s="10"/>
      <c r="T49" s="48">
        <v>0</v>
      </c>
    </row>
    <row r="50" spans="1:21" ht="22.5">
      <c r="A50" s="12" t="s">
        <v>92</v>
      </c>
      <c r="B50" s="8" t="s">
        <v>89</v>
      </c>
      <c r="C50" s="49" t="s">
        <v>162</v>
      </c>
      <c r="D50" s="5">
        <f t="shared" ref="D50:D52" si="34">E50+F50+G50</f>
        <v>81262845</v>
      </c>
      <c r="E50" s="9">
        <v>0</v>
      </c>
      <c r="F50" s="5">
        <v>81262845</v>
      </c>
      <c r="G50" s="4">
        <v>0</v>
      </c>
      <c r="H50" s="16" t="e">
        <f t="shared" si="7"/>
        <v>#REF!</v>
      </c>
      <c r="I50" s="16" t="e">
        <f t="shared" ref="I50:I74" si="35">J50+K50+L50+M50</f>
        <v>#REF!</v>
      </c>
      <c r="J50" s="68">
        <f>IPF!K42-IPF!K42*'IPF - RW'!$U$48</f>
        <v>0</v>
      </c>
      <c r="K50" s="68" t="e">
        <f>IPF!#REF!-IPF!#REF!*'IPF - RW'!$U$48</f>
        <v>#REF!</v>
      </c>
      <c r="L50" s="68">
        <f>IPF!L42-IPF!L42*'IPF - RW'!$U$48</f>
        <v>1842754.8268728214</v>
      </c>
      <c r="M50" s="56">
        <v>0</v>
      </c>
      <c r="N50" s="57">
        <v>0</v>
      </c>
      <c r="O50" s="58" t="e">
        <f>(D50+H50)</f>
        <v>#REF!</v>
      </c>
      <c r="P50" s="41">
        <v>0</v>
      </c>
      <c r="Q50" s="10"/>
      <c r="R50" s="10"/>
      <c r="S50" s="10"/>
      <c r="T50" s="48">
        <v>0</v>
      </c>
    </row>
    <row r="51" spans="1:21" ht="22.5">
      <c r="A51" s="12" t="s">
        <v>94</v>
      </c>
      <c r="B51" s="8" t="s">
        <v>89</v>
      </c>
      <c r="C51" s="49" t="s">
        <v>162</v>
      </c>
      <c r="D51" s="5">
        <f t="shared" si="34"/>
        <v>6941714</v>
      </c>
      <c r="E51" s="9">
        <v>0</v>
      </c>
      <c r="F51" s="5">
        <v>6941714</v>
      </c>
      <c r="G51" s="4">
        <v>0</v>
      </c>
      <c r="H51" s="16" t="e">
        <f t="shared" si="7"/>
        <v>#REF!</v>
      </c>
      <c r="I51" s="16" t="e">
        <f t="shared" si="35"/>
        <v>#REF!</v>
      </c>
      <c r="J51" s="4">
        <v>0</v>
      </c>
      <c r="K51" s="68" t="e">
        <f>IPF!#REF!-IPF!#REF!*'IPF - RW'!$U$48</f>
        <v>#REF!</v>
      </c>
      <c r="L51" s="68">
        <f>IPF!L43-IPF!L43*'IPF - RW'!$U$48</f>
        <v>7022437.1147692297</v>
      </c>
      <c r="M51" s="4">
        <v>0</v>
      </c>
      <c r="N51" s="15">
        <v>0</v>
      </c>
      <c r="O51" s="9" t="e">
        <f>(D51+H51)</f>
        <v>#REF!</v>
      </c>
      <c r="P51" s="41">
        <v>0</v>
      </c>
      <c r="Q51" s="10"/>
      <c r="R51" s="10"/>
      <c r="S51" s="10"/>
      <c r="T51" s="48">
        <v>0</v>
      </c>
    </row>
    <row r="52" spans="1:21" ht="22.5">
      <c r="A52" s="12" t="s">
        <v>95</v>
      </c>
      <c r="B52" s="8" t="s">
        <v>89</v>
      </c>
      <c r="C52" s="49" t="s">
        <v>162</v>
      </c>
      <c r="D52" s="5">
        <f t="shared" si="34"/>
        <v>6500000</v>
      </c>
      <c r="E52" s="9">
        <v>0</v>
      </c>
      <c r="F52" s="5">
        <v>6500000</v>
      </c>
      <c r="G52" s="4">
        <v>0</v>
      </c>
      <c r="H52" s="16" t="e">
        <f t="shared" si="7"/>
        <v>#REF!</v>
      </c>
      <c r="I52" s="16" t="e">
        <f t="shared" si="35"/>
        <v>#REF!</v>
      </c>
      <c r="J52" s="4">
        <v>0</v>
      </c>
      <c r="K52" s="68" t="e">
        <f>IPF!#REF!-IPF!#REF!*'IPF - RW'!$U$48</f>
        <v>#REF!</v>
      </c>
      <c r="L52" s="68">
        <f>IPF!L44-IPF!L44*'IPF - RW'!$U$48</f>
        <v>1381248.6648133565</v>
      </c>
      <c r="M52" s="4">
        <v>0</v>
      </c>
      <c r="N52" s="15">
        <v>0</v>
      </c>
      <c r="O52" s="9" t="e">
        <f>(D52+H52)</f>
        <v>#REF!</v>
      </c>
      <c r="P52" s="41">
        <v>0</v>
      </c>
      <c r="Q52" s="10"/>
      <c r="R52" s="10"/>
      <c r="S52" s="10"/>
      <c r="T52" s="48">
        <v>0</v>
      </c>
    </row>
    <row r="53" spans="1:21" ht="16.5">
      <c r="A53" s="12" t="s">
        <v>93</v>
      </c>
      <c r="B53" s="8" t="s">
        <v>90</v>
      </c>
      <c r="C53" s="49" t="s">
        <v>162</v>
      </c>
      <c r="D53" s="5">
        <f>E53+F53+G53</f>
        <v>41350812</v>
      </c>
      <c r="E53" s="9">
        <v>0</v>
      </c>
      <c r="F53" s="5">
        <v>41350812</v>
      </c>
      <c r="G53" s="4">
        <v>0</v>
      </c>
      <c r="H53" s="55" t="e">
        <f t="shared" si="7"/>
        <v>#REF!</v>
      </c>
      <c r="I53" s="55" t="e">
        <f t="shared" si="35"/>
        <v>#REF!</v>
      </c>
      <c r="J53" s="68" t="e">
        <f>IPF!#REF!-IPF!#REF!*'IPF - RW'!$U$48</f>
        <v>#REF!</v>
      </c>
      <c r="K53" s="56">
        <v>0</v>
      </c>
      <c r="L53" s="56">
        <v>0</v>
      </c>
      <c r="M53" s="56">
        <v>0</v>
      </c>
      <c r="N53" s="57">
        <v>0</v>
      </c>
      <c r="O53" s="58" t="e">
        <f>(D53+H53)</f>
        <v>#REF!</v>
      </c>
      <c r="P53" s="41">
        <v>0</v>
      </c>
      <c r="Q53" s="10"/>
      <c r="R53" s="10"/>
      <c r="S53" s="10"/>
      <c r="T53" s="48">
        <v>0</v>
      </c>
    </row>
    <row r="54" spans="1:21" s="40" customFormat="1" ht="22.5">
      <c r="A54" s="37" t="s">
        <v>45</v>
      </c>
      <c r="B54" s="36"/>
      <c r="C54" s="49" t="s">
        <v>162</v>
      </c>
      <c r="D54" s="68">
        <f>D55+D56+D57+D60+D61+D62+D63</f>
        <v>68348451</v>
      </c>
      <c r="E54" s="70">
        <f t="shared" ref="E54:O54" si="36">E55+E56+E57+E60+E61+E62+E63</f>
        <v>0</v>
      </c>
      <c r="F54" s="68">
        <f t="shared" si="36"/>
        <v>0</v>
      </c>
      <c r="G54" s="68">
        <f t="shared" si="36"/>
        <v>68348451</v>
      </c>
      <c r="H54" s="67" t="e">
        <f t="shared" si="36"/>
        <v>#REF!</v>
      </c>
      <c r="I54" s="69" t="e">
        <f t="shared" si="36"/>
        <v>#REF!</v>
      </c>
      <c r="J54" s="68">
        <f t="shared" si="36"/>
        <v>0</v>
      </c>
      <c r="K54" s="68" t="e">
        <f t="shared" si="36"/>
        <v>#REF!</v>
      </c>
      <c r="L54" s="68">
        <f t="shared" si="36"/>
        <v>14309652.877469018</v>
      </c>
      <c r="M54" s="68">
        <f t="shared" si="36"/>
        <v>3562134.6166279609</v>
      </c>
      <c r="N54" s="69">
        <f t="shared" si="36"/>
        <v>2647059</v>
      </c>
      <c r="O54" s="70" t="e">
        <f t="shared" si="36"/>
        <v>#REF!</v>
      </c>
      <c r="P54" s="42"/>
      <c r="Q54" s="70">
        <f>(D54-R54)</f>
        <v>63578011</v>
      </c>
      <c r="R54" s="78">
        <v>4770440</v>
      </c>
      <c r="S54" s="79">
        <f>(R54/D54)</f>
        <v>6.979587584216064E-2</v>
      </c>
      <c r="T54" s="47">
        <v>0</v>
      </c>
      <c r="U54" s="80">
        <v>6.979587584216064E-2</v>
      </c>
    </row>
    <row r="55" spans="1:21" ht="16.5">
      <c r="A55" s="12" t="s">
        <v>46</v>
      </c>
      <c r="B55" s="8" t="s">
        <v>47</v>
      </c>
      <c r="C55" s="49" t="s">
        <v>162</v>
      </c>
      <c r="D55" s="59">
        <f t="shared" ref="D55:D63" si="37">E55+F55+G55</f>
        <v>26343266</v>
      </c>
      <c r="E55" s="58">
        <v>0</v>
      </c>
      <c r="F55" s="56">
        <v>0</v>
      </c>
      <c r="G55" s="56">
        <v>26343266</v>
      </c>
      <c r="H55" s="55">
        <f t="shared" si="7"/>
        <v>3562134.6166279609</v>
      </c>
      <c r="I55" s="57">
        <f t="shared" si="35"/>
        <v>3562134.6166279609</v>
      </c>
      <c r="J55" s="56">
        <v>0</v>
      </c>
      <c r="K55" s="56">
        <v>0</v>
      </c>
      <c r="L55" s="56">
        <v>0</v>
      </c>
      <c r="M55" s="68">
        <f>IPF!M46-IPF!M46*'IPF - RW'!$U$54</f>
        <v>3562134.6166279609</v>
      </c>
      <c r="N55" s="57">
        <v>0</v>
      </c>
      <c r="O55" s="58">
        <f t="shared" ref="O55:O63" si="38">(D55+H55)</f>
        <v>29905400.616627961</v>
      </c>
      <c r="P55" s="41">
        <v>0.1</v>
      </c>
      <c r="Q55" s="10"/>
      <c r="R55" s="10"/>
      <c r="S55" s="10"/>
      <c r="T55" s="48">
        <v>0</v>
      </c>
    </row>
    <row r="56" spans="1:21" ht="16.5">
      <c r="A56" s="12" t="s">
        <v>48</v>
      </c>
      <c r="B56" s="8" t="s">
        <v>47</v>
      </c>
      <c r="C56" s="49" t="s">
        <v>162</v>
      </c>
      <c r="D56" s="5">
        <f t="shared" si="37"/>
        <v>3927461</v>
      </c>
      <c r="E56" s="9">
        <v>0</v>
      </c>
      <c r="F56" s="4">
        <v>0</v>
      </c>
      <c r="G56" s="4">
        <v>3927461</v>
      </c>
      <c r="H56" s="16" t="e">
        <f t="shared" si="7"/>
        <v>#REF!</v>
      </c>
      <c r="I56" s="15" t="e">
        <f t="shared" si="35"/>
        <v>#REF!</v>
      </c>
      <c r="J56" s="68">
        <f>IPF!K47-IPF!K47*'IPF - RW'!$U$54</f>
        <v>0</v>
      </c>
      <c r="K56" s="68" t="e">
        <f>IPF!#REF!-IPF!#REF!*'IPF - RW'!$U$54</f>
        <v>#REF!</v>
      </c>
      <c r="L56" s="68">
        <f>IPF!L47-IPF!L47*'IPF - RW'!$U$54</f>
        <v>860596.12877876346</v>
      </c>
      <c r="M56" s="4">
        <v>0</v>
      </c>
      <c r="N56" s="15">
        <v>0</v>
      </c>
      <c r="O56" s="9" t="e">
        <f t="shared" si="38"/>
        <v>#REF!</v>
      </c>
      <c r="P56" s="41">
        <v>0.1</v>
      </c>
      <c r="Q56" s="10"/>
      <c r="R56" s="10"/>
      <c r="S56" s="10"/>
      <c r="T56" s="48">
        <v>0</v>
      </c>
    </row>
    <row r="57" spans="1:21" ht="16.5">
      <c r="A57" s="12" t="s">
        <v>49</v>
      </c>
      <c r="B57" s="8" t="s">
        <v>50</v>
      </c>
      <c r="C57" s="49" t="s">
        <v>162</v>
      </c>
      <c r="D57" s="5">
        <f>D58+D59</f>
        <v>7107612</v>
      </c>
      <c r="E57" s="9">
        <v>0</v>
      </c>
      <c r="F57" s="5">
        <f>F58+F59</f>
        <v>0</v>
      </c>
      <c r="G57" s="5">
        <f>G58+G59</f>
        <v>7107612</v>
      </c>
      <c r="H57" s="16" t="e">
        <f>H58+H59</f>
        <v>#REF!</v>
      </c>
      <c r="I57" s="16" t="e">
        <f>I58+I59</f>
        <v>#REF!</v>
      </c>
      <c r="J57" s="4">
        <f t="shared" ref="J57:K57" si="39">J58+J59</f>
        <v>0</v>
      </c>
      <c r="K57" s="4" t="e">
        <f t="shared" si="39"/>
        <v>#REF!</v>
      </c>
      <c r="L57" s="4">
        <f>L58+L59</f>
        <v>5592409.5193359107</v>
      </c>
      <c r="M57" s="4">
        <f t="shared" ref="M57:N57" si="40">M58+M59</f>
        <v>0</v>
      </c>
      <c r="N57" s="15">
        <f t="shared" si="40"/>
        <v>0</v>
      </c>
      <c r="O57" s="9" t="e">
        <f>O58+O59</f>
        <v>#REF!</v>
      </c>
      <c r="P57" s="41">
        <v>0.1</v>
      </c>
      <c r="Q57" s="10"/>
      <c r="R57" s="10"/>
      <c r="S57" s="10"/>
      <c r="T57" s="48">
        <v>0</v>
      </c>
    </row>
    <row r="58" spans="1:21" ht="22.5">
      <c r="A58" s="12" t="s">
        <v>166</v>
      </c>
      <c r="B58" s="8" t="s">
        <v>50</v>
      </c>
      <c r="C58" s="49" t="s">
        <v>162</v>
      </c>
      <c r="D58" s="64">
        <f t="shared" si="37"/>
        <v>5687612</v>
      </c>
      <c r="E58" s="61">
        <v>0</v>
      </c>
      <c r="F58" s="60">
        <v>0</v>
      </c>
      <c r="G58" s="60">
        <v>5687612</v>
      </c>
      <c r="H58" s="62" t="e">
        <f t="shared" si="7"/>
        <v>#REF!</v>
      </c>
      <c r="I58" s="63" t="e">
        <f t="shared" si="35"/>
        <v>#REF!</v>
      </c>
      <c r="J58" s="68">
        <f>IPF!K49-IPF!K49*'IPF - RW'!$U$54</f>
        <v>0</v>
      </c>
      <c r="K58" s="68" t="e">
        <f>IPF!#REF!-IPF!#REF!*'IPF - RW'!$U$54</f>
        <v>#REF!</v>
      </c>
      <c r="L58" s="68">
        <f>IPF!L49-IPF!L49*'IPF - RW'!$U$54</f>
        <v>1088043.5128141968</v>
      </c>
      <c r="M58" s="60">
        <v>0</v>
      </c>
      <c r="N58" s="63">
        <v>0</v>
      </c>
      <c r="O58" s="61" t="e">
        <f t="shared" si="38"/>
        <v>#REF!</v>
      </c>
      <c r="P58" s="41">
        <v>0.1</v>
      </c>
      <c r="Q58" s="10"/>
      <c r="R58" s="10"/>
      <c r="S58" s="10"/>
      <c r="T58" s="48">
        <v>0</v>
      </c>
    </row>
    <row r="59" spans="1:21" ht="22.5">
      <c r="A59" s="12" t="s">
        <v>167</v>
      </c>
      <c r="B59" s="8" t="s">
        <v>50</v>
      </c>
      <c r="C59" s="49" t="s">
        <v>162</v>
      </c>
      <c r="D59" s="64">
        <f t="shared" si="37"/>
        <v>1420000</v>
      </c>
      <c r="E59" s="61">
        <v>0</v>
      </c>
      <c r="F59" s="60">
        <v>0</v>
      </c>
      <c r="G59" s="60">
        <v>1420000</v>
      </c>
      <c r="H59" s="62" t="e">
        <f t="shared" si="7"/>
        <v>#REF!</v>
      </c>
      <c r="I59" s="63" t="e">
        <f t="shared" si="35"/>
        <v>#REF!</v>
      </c>
      <c r="J59" s="68">
        <f>IPF!K50-IPF!K50*'IPF - RW'!$U$54</f>
        <v>0</v>
      </c>
      <c r="K59" s="68" t="e">
        <f>IPF!#REF!-IPF!#REF!*'IPF - RW'!$U$54</f>
        <v>#REF!</v>
      </c>
      <c r="L59" s="68">
        <f>IPF!L50-IPF!L50*'IPF - RW'!$U$54</f>
        <v>4504366.0065217139</v>
      </c>
      <c r="M59" s="60">
        <v>0</v>
      </c>
      <c r="N59" s="63">
        <v>0</v>
      </c>
      <c r="O59" s="61" t="e">
        <f t="shared" si="38"/>
        <v>#REF!</v>
      </c>
      <c r="P59" s="41">
        <v>0.1</v>
      </c>
      <c r="Q59" s="10"/>
      <c r="R59" s="10"/>
      <c r="S59" s="10"/>
      <c r="T59" s="48">
        <v>0</v>
      </c>
    </row>
    <row r="60" spans="1:21" ht="16.5">
      <c r="A60" s="12" t="s">
        <v>51</v>
      </c>
      <c r="B60" s="8" t="s">
        <v>52</v>
      </c>
      <c r="C60" s="49" t="s">
        <v>162</v>
      </c>
      <c r="D60" s="5">
        <f t="shared" si="37"/>
        <v>8053806</v>
      </c>
      <c r="E60" s="9">
        <v>0</v>
      </c>
      <c r="F60" s="4">
        <v>0</v>
      </c>
      <c r="G60" s="4">
        <v>8053806</v>
      </c>
      <c r="H60" s="16" t="e">
        <f t="shared" si="7"/>
        <v>#REF!</v>
      </c>
      <c r="I60" s="15" t="e">
        <f t="shared" si="35"/>
        <v>#REF!</v>
      </c>
      <c r="J60" s="68">
        <f>IPF!K51-IPF!K51*'IPF - RW'!$U$54</f>
        <v>0</v>
      </c>
      <c r="K60" s="68" t="e">
        <f>IPF!#REF!-IPF!#REF!*'IPF - RW'!$U$54</f>
        <v>#REF!</v>
      </c>
      <c r="L60" s="68">
        <f>IPF!L51-IPF!L51*'IPF - RW'!$U$54</f>
        <v>164153.66896903052</v>
      </c>
      <c r="M60" s="4">
        <v>0</v>
      </c>
      <c r="N60" s="15">
        <v>0</v>
      </c>
      <c r="O60" s="9" t="e">
        <f t="shared" si="38"/>
        <v>#REF!</v>
      </c>
      <c r="P60" s="41">
        <v>0.1</v>
      </c>
      <c r="Q60" s="10"/>
      <c r="R60" s="10"/>
      <c r="S60" s="10"/>
      <c r="T60" s="48">
        <v>0</v>
      </c>
    </row>
    <row r="61" spans="1:21" ht="16.5">
      <c r="A61" s="12" t="s">
        <v>53</v>
      </c>
      <c r="B61" s="8" t="s">
        <v>54</v>
      </c>
      <c r="C61" s="49" t="s">
        <v>162</v>
      </c>
      <c r="D61" s="5">
        <f t="shared" si="37"/>
        <v>15000000</v>
      </c>
      <c r="E61" s="9">
        <v>0</v>
      </c>
      <c r="F61" s="4">
        <v>0</v>
      </c>
      <c r="G61" s="4">
        <v>15000000</v>
      </c>
      <c r="H61" s="16" t="e">
        <f t="shared" si="7"/>
        <v>#REF!</v>
      </c>
      <c r="I61" s="15" t="e">
        <f t="shared" si="35"/>
        <v>#REF!</v>
      </c>
      <c r="J61" s="68">
        <f>IPF!K52-IPF!K52*'IPF - RW'!$U$54</f>
        <v>0</v>
      </c>
      <c r="K61" s="68" t="e">
        <f>IPF!#REF!-IPF!#REF!*'IPF - RW'!$U$54</f>
        <v>#REF!</v>
      </c>
      <c r="L61" s="68">
        <f>IPF!L52-IPF!L52*'IPF - RW'!$U$54</f>
        <v>4063713.046616931</v>
      </c>
      <c r="M61" s="4">
        <v>0</v>
      </c>
      <c r="N61" s="15">
        <v>2647059</v>
      </c>
      <c r="O61" s="9" t="e">
        <f t="shared" si="38"/>
        <v>#REF!</v>
      </c>
      <c r="P61" s="41">
        <v>0.1</v>
      </c>
      <c r="Q61" s="10"/>
      <c r="R61" s="10"/>
      <c r="S61" s="10"/>
      <c r="T61" s="48">
        <v>0</v>
      </c>
    </row>
    <row r="62" spans="1:21" ht="16.5">
      <c r="A62" s="12" t="s">
        <v>55</v>
      </c>
      <c r="B62" s="8" t="s">
        <v>54</v>
      </c>
      <c r="C62" s="49" t="s">
        <v>162</v>
      </c>
      <c r="D62" s="59">
        <f t="shared" si="37"/>
        <v>1306350</v>
      </c>
      <c r="E62" s="58">
        <v>0</v>
      </c>
      <c r="F62" s="56">
        <v>0</v>
      </c>
      <c r="G62" s="56">
        <v>1306350</v>
      </c>
      <c r="H62" s="55" t="e">
        <f t="shared" si="7"/>
        <v>#REF!</v>
      </c>
      <c r="I62" s="57" t="e">
        <f t="shared" si="35"/>
        <v>#REF!</v>
      </c>
      <c r="J62" s="68">
        <f>IPF!K53-IPF!K53*'IPF - RW'!$U$54</f>
        <v>0</v>
      </c>
      <c r="K62" s="68" t="e">
        <f>IPF!#REF!-IPF!#REF!*'IPF - RW'!$U$54</f>
        <v>#REF!</v>
      </c>
      <c r="L62" s="68">
        <f>IPF!L53-IPF!L53*'IPF - RW'!$U$54</f>
        <v>2978669.6062568119</v>
      </c>
      <c r="M62" s="56">
        <v>0</v>
      </c>
      <c r="N62" s="57">
        <v>0</v>
      </c>
      <c r="O62" s="58" t="e">
        <f t="shared" si="38"/>
        <v>#REF!</v>
      </c>
      <c r="P62" s="41">
        <v>0.1</v>
      </c>
      <c r="Q62" s="10"/>
      <c r="R62" s="10"/>
      <c r="S62" s="10"/>
      <c r="T62" s="48">
        <v>0</v>
      </c>
    </row>
    <row r="63" spans="1:21" ht="16.5">
      <c r="A63" s="12" t="s">
        <v>56</v>
      </c>
      <c r="B63" s="8" t="s">
        <v>57</v>
      </c>
      <c r="C63" s="49" t="s">
        <v>162</v>
      </c>
      <c r="D63" s="59">
        <f t="shared" si="37"/>
        <v>6609956</v>
      </c>
      <c r="E63" s="58">
        <v>0</v>
      </c>
      <c r="F63" s="56">
        <v>0</v>
      </c>
      <c r="G63" s="56">
        <v>6609956</v>
      </c>
      <c r="H63" s="55" t="e">
        <f t="shared" si="7"/>
        <v>#REF!</v>
      </c>
      <c r="I63" s="57" t="e">
        <f t="shared" si="35"/>
        <v>#REF!</v>
      </c>
      <c r="J63" s="68">
        <f>IPF!K54-IPF!K54*'IPF - RW'!$U$54</f>
        <v>0</v>
      </c>
      <c r="K63" s="68" t="e">
        <f>IPF!#REF!-IPF!#REF!*'IPF - RW'!$U$54</f>
        <v>#REF!</v>
      </c>
      <c r="L63" s="68">
        <f>IPF!L54-IPF!L54*'IPF - RW'!$U$54</f>
        <v>650110.90751156898</v>
      </c>
      <c r="M63" s="56">
        <v>0</v>
      </c>
      <c r="N63" s="57">
        <v>0</v>
      </c>
      <c r="O63" s="58" t="e">
        <f t="shared" si="38"/>
        <v>#REF!</v>
      </c>
      <c r="P63" s="41">
        <v>0.1</v>
      </c>
      <c r="Q63" s="10"/>
      <c r="R63" s="10"/>
      <c r="S63" s="10"/>
      <c r="T63" s="48">
        <v>0</v>
      </c>
    </row>
    <row r="64" spans="1:21" s="40" customFormat="1" ht="22.5">
      <c r="A64" s="37" t="s">
        <v>58</v>
      </c>
      <c r="B64" s="36"/>
      <c r="C64" s="49" t="s">
        <v>162</v>
      </c>
      <c r="D64" s="68">
        <f>D65+D66+D67+D68+D71+D72</f>
        <v>70813884</v>
      </c>
      <c r="E64" s="70">
        <f t="shared" ref="E64:O64" si="41">E65+E66+E67+E68+E71+E72</f>
        <v>0</v>
      </c>
      <c r="F64" s="68">
        <f t="shared" si="41"/>
        <v>0</v>
      </c>
      <c r="G64" s="68">
        <f t="shared" si="41"/>
        <v>70813884</v>
      </c>
      <c r="H64" s="67" t="e">
        <f t="shared" si="41"/>
        <v>#REF!</v>
      </c>
      <c r="I64" s="69" t="e">
        <f t="shared" si="41"/>
        <v>#REF!</v>
      </c>
      <c r="J64" s="68" t="e">
        <f t="shared" si="41"/>
        <v>#REF!</v>
      </c>
      <c r="K64" s="68" t="e">
        <f t="shared" si="41"/>
        <v>#REF!</v>
      </c>
      <c r="L64" s="68" t="e">
        <f t="shared" si="41"/>
        <v>#REF!</v>
      </c>
      <c r="M64" s="68">
        <f t="shared" si="41"/>
        <v>0</v>
      </c>
      <c r="N64" s="69">
        <f t="shared" si="41"/>
        <v>0</v>
      </c>
      <c r="O64" s="70" t="e">
        <f t="shared" si="41"/>
        <v>#REF!</v>
      </c>
      <c r="P64" s="42"/>
      <c r="Q64" s="70">
        <f>(D64-R64)</f>
        <v>65864135</v>
      </c>
      <c r="R64" s="78">
        <v>4949749</v>
      </c>
      <c r="S64" s="79">
        <f>(R64/D64)</f>
        <v>6.9898001922899758E-2</v>
      </c>
      <c r="T64" s="47">
        <v>0</v>
      </c>
      <c r="U64" s="80">
        <v>6.9898001922899758E-2</v>
      </c>
    </row>
    <row r="65" spans="1:21" s="50" customFormat="1" ht="16.5">
      <c r="A65" s="12" t="s">
        <v>59</v>
      </c>
      <c r="B65" s="8" t="s">
        <v>60</v>
      </c>
      <c r="C65" s="49" t="s">
        <v>162</v>
      </c>
      <c r="D65" s="59">
        <f t="shared" ref="D65:D67" si="42">E65+F65+G65</f>
        <v>15484546</v>
      </c>
      <c r="E65" s="58">
        <v>0</v>
      </c>
      <c r="F65" s="56">
        <v>0</v>
      </c>
      <c r="G65" s="56">
        <v>15484546</v>
      </c>
      <c r="H65" s="55">
        <f t="shared" si="7"/>
        <v>171334.57859315007</v>
      </c>
      <c r="I65" s="57">
        <f t="shared" si="35"/>
        <v>171334.57859315007</v>
      </c>
      <c r="J65" s="56">
        <v>0</v>
      </c>
      <c r="K65" s="56">
        <v>0</v>
      </c>
      <c r="L65" s="68">
        <f>IPF!L63-IPF!L63*'IPF - RW'!$U$64</f>
        <v>171334.57859315007</v>
      </c>
      <c r="M65" s="56">
        <v>0</v>
      </c>
      <c r="N65" s="57">
        <v>0</v>
      </c>
      <c r="O65" s="58">
        <f>(D65+H65)</f>
        <v>15655880.57859315</v>
      </c>
      <c r="P65" s="41">
        <v>0.1</v>
      </c>
      <c r="Q65" s="10"/>
      <c r="R65" s="10"/>
      <c r="S65" s="10"/>
      <c r="T65" s="48">
        <v>0</v>
      </c>
    </row>
    <row r="66" spans="1:21" s="50" customFormat="1" ht="16.5">
      <c r="A66" s="12" t="s">
        <v>61</v>
      </c>
      <c r="B66" s="8" t="s">
        <v>60</v>
      </c>
      <c r="C66" s="49" t="s">
        <v>162</v>
      </c>
      <c r="D66" s="5">
        <f t="shared" si="42"/>
        <v>7964806</v>
      </c>
      <c r="E66" s="9">
        <v>0</v>
      </c>
      <c r="F66" s="4">
        <v>0</v>
      </c>
      <c r="G66" s="4">
        <v>7964806</v>
      </c>
      <c r="H66" s="16">
        <f t="shared" si="7"/>
        <v>128741.34083499707</v>
      </c>
      <c r="I66" s="15">
        <f t="shared" si="35"/>
        <v>128741.34083499707</v>
      </c>
      <c r="J66" s="4">
        <v>0</v>
      </c>
      <c r="K66" s="4">
        <v>0</v>
      </c>
      <c r="L66" s="68">
        <f>IPF!L64-IPF!L64*'IPF - RW'!$U$64</f>
        <v>128741.34083499707</v>
      </c>
      <c r="M66" s="4">
        <v>0</v>
      </c>
      <c r="N66" s="15">
        <v>0</v>
      </c>
      <c r="O66" s="9">
        <f>(D66+H66)</f>
        <v>8093547.3408349967</v>
      </c>
      <c r="P66" s="41">
        <v>0.1</v>
      </c>
      <c r="Q66" s="10"/>
      <c r="R66" s="10"/>
      <c r="S66" s="10"/>
      <c r="T66" s="48">
        <v>0</v>
      </c>
    </row>
    <row r="67" spans="1:21" s="50" customFormat="1" ht="16.5">
      <c r="A67" s="12" t="s">
        <v>62</v>
      </c>
      <c r="B67" s="8" t="s">
        <v>60</v>
      </c>
      <c r="C67" s="49" t="s">
        <v>162</v>
      </c>
      <c r="D67" s="5">
        <f t="shared" si="42"/>
        <v>11056807</v>
      </c>
      <c r="E67" s="9">
        <v>0</v>
      </c>
      <c r="F67" s="4">
        <v>0</v>
      </c>
      <c r="G67" s="4">
        <v>11056807</v>
      </c>
      <c r="H67" s="16" t="e">
        <f t="shared" si="7"/>
        <v>#REF!</v>
      </c>
      <c r="I67" s="15" t="e">
        <f t="shared" si="35"/>
        <v>#REF!</v>
      </c>
      <c r="J67" s="68">
        <f>IPF!K65-IPF!K65*'IPF - RW'!$U$64</f>
        <v>0</v>
      </c>
      <c r="K67" s="68" t="e">
        <f>IPF!#REF!-IPF!#REF!*'IPF - RW'!$U$64</f>
        <v>#REF!</v>
      </c>
      <c r="L67" s="68">
        <f>IPF!L65-IPF!L65*'IPF - RW'!$U$64</f>
        <v>167941.07697679737</v>
      </c>
      <c r="M67" s="4">
        <v>0</v>
      </c>
      <c r="N67" s="15">
        <v>0</v>
      </c>
      <c r="O67" s="9" t="e">
        <f>(D67+H67)</f>
        <v>#REF!</v>
      </c>
      <c r="P67" s="41">
        <v>0.1</v>
      </c>
      <c r="Q67" s="10"/>
      <c r="R67" s="10"/>
      <c r="S67" s="10"/>
      <c r="T67" s="48">
        <v>0</v>
      </c>
    </row>
    <row r="68" spans="1:21" ht="16.5">
      <c r="A68" s="12" t="s">
        <v>63</v>
      </c>
      <c r="B68" s="8" t="s">
        <v>60</v>
      </c>
      <c r="C68" s="49" t="s">
        <v>162</v>
      </c>
      <c r="D68" s="4">
        <f>D69+D70</f>
        <v>10405000</v>
      </c>
      <c r="E68" s="9">
        <v>0</v>
      </c>
      <c r="F68" s="4">
        <v>0</v>
      </c>
      <c r="G68" s="4">
        <f>G69+G70</f>
        <v>10405000</v>
      </c>
      <c r="H68" s="16" t="e">
        <f t="shared" ref="H68:O68" si="43">H69+H70</f>
        <v>#REF!</v>
      </c>
      <c r="I68" s="15" t="e">
        <f t="shared" si="43"/>
        <v>#REF!</v>
      </c>
      <c r="J68" s="4" t="e">
        <f t="shared" si="43"/>
        <v>#REF!</v>
      </c>
      <c r="K68" s="4" t="e">
        <f t="shared" si="43"/>
        <v>#REF!</v>
      </c>
      <c r="L68" s="4" t="e">
        <f t="shared" si="43"/>
        <v>#REF!</v>
      </c>
      <c r="M68" s="4">
        <f t="shared" si="43"/>
        <v>0</v>
      </c>
      <c r="N68" s="15">
        <f t="shared" si="43"/>
        <v>0</v>
      </c>
      <c r="O68" s="9" t="e">
        <f t="shared" si="43"/>
        <v>#REF!</v>
      </c>
      <c r="P68" s="41">
        <v>0.1</v>
      </c>
      <c r="Q68" s="10"/>
      <c r="R68" s="10"/>
      <c r="S68" s="10"/>
      <c r="T68" s="48">
        <v>0</v>
      </c>
    </row>
    <row r="69" spans="1:21" ht="22.5">
      <c r="A69" s="12" t="s">
        <v>64</v>
      </c>
      <c r="B69" s="8" t="s">
        <v>60</v>
      </c>
      <c r="C69" s="49" t="s">
        <v>162</v>
      </c>
      <c r="D69" s="5">
        <f t="shared" ref="D69:D70" si="44">E69+F69+G69</f>
        <v>4905000</v>
      </c>
      <c r="E69" s="9">
        <v>0</v>
      </c>
      <c r="F69" s="4">
        <v>0</v>
      </c>
      <c r="G69" s="5">
        <v>4905000</v>
      </c>
      <c r="H69" s="16" t="e">
        <f t="shared" si="7"/>
        <v>#REF!</v>
      </c>
      <c r="I69" s="15" t="e">
        <f t="shared" si="35"/>
        <v>#REF!</v>
      </c>
      <c r="J69" s="68" t="e">
        <f>IPF!#REF!-IPF!#REF!*'IPF - RW'!$U$64</f>
        <v>#REF!</v>
      </c>
      <c r="K69" s="68" t="e">
        <f>IPF!#REF!-IPF!#REF!*'IPF - RW'!$U$64</f>
        <v>#REF!</v>
      </c>
      <c r="L69" s="68" t="e">
        <f>IPF!#REF!-IPF!#REF!*'IPF - RW'!$U$64</f>
        <v>#REF!</v>
      </c>
      <c r="M69" s="4">
        <v>0</v>
      </c>
      <c r="N69" s="15">
        <v>0</v>
      </c>
      <c r="O69" s="9" t="e">
        <f>(D69+H69)</f>
        <v>#REF!</v>
      </c>
      <c r="P69" s="41">
        <v>0.1</v>
      </c>
      <c r="Q69" s="10"/>
      <c r="R69" s="10"/>
      <c r="S69" s="10"/>
      <c r="T69" s="48">
        <v>0</v>
      </c>
    </row>
    <row r="70" spans="1:21" ht="22.5">
      <c r="A70" s="12" t="s">
        <v>65</v>
      </c>
      <c r="B70" s="8" t="s">
        <v>60</v>
      </c>
      <c r="C70" s="49" t="s">
        <v>162</v>
      </c>
      <c r="D70" s="5">
        <f t="shared" si="44"/>
        <v>5500000</v>
      </c>
      <c r="E70" s="9">
        <v>0</v>
      </c>
      <c r="F70" s="4">
        <v>0</v>
      </c>
      <c r="G70" s="5">
        <v>5500000</v>
      </c>
      <c r="H70" s="16" t="e">
        <f t="shared" si="7"/>
        <v>#REF!</v>
      </c>
      <c r="I70" s="15" t="e">
        <f t="shared" si="35"/>
        <v>#REF!</v>
      </c>
      <c r="J70" s="68" t="e">
        <f>IPF!#REF!-IPF!#REF!*'IPF - RW'!$U$64</f>
        <v>#REF!</v>
      </c>
      <c r="K70" s="68" t="e">
        <f>IPF!#REF!-IPF!#REF!*'IPF - RW'!$U$64</f>
        <v>#REF!</v>
      </c>
      <c r="L70" s="68" t="e">
        <f>IPF!#REF!-IPF!#REF!*'IPF - RW'!$U$64</f>
        <v>#REF!</v>
      </c>
      <c r="M70" s="4">
        <v>0</v>
      </c>
      <c r="N70" s="15">
        <v>0</v>
      </c>
      <c r="O70" s="9" t="e">
        <f>(D70+H70)</f>
        <v>#REF!</v>
      </c>
      <c r="P70" s="41">
        <v>0.1</v>
      </c>
      <c r="Q70" s="10"/>
      <c r="R70" s="10"/>
      <c r="S70" s="10"/>
      <c r="T70" s="48">
        <v>0</v>
      </c>
    </row>
    <row r="71" spans="1:21" ht="16.5">
      <c r="A71" s="12" t="s">
        <v>66</v>
      </c>
      <c r="B71" s="8" t="s">
        <v>67</v>
      </c>
      <c r="C71" s="49" t="s">
        <v>162</v>
      </c>
      <c r="D71" s="59">
        <f>E71+F71+G71</f>
        <v>10741306</v>
      </c>
      <c r="E71" s="58">
        <v>0</v>
      </c>
      <c r="F71" s="56">
        <v>0</v>
      </c>
      <c r="G71" s="56">
        <v>10741306</v>
      </c>
      <c r="H71" s="55" t="e">
        <f t="shared" si="7"/>
        <v>#REF!</v>
      </c>
      <c r="I71" s="57" t="e">
        <f t="shared" si="35"/>
        <v>#REF!</v>
      </c>
      <c r="J71" s="68" t="e">
        <f>IPF!#REF!-IPF!#REF!*'IPF - RW'!$U$64</f>
        <v>#REF!</v>
      </c>
      <c r="K71" s="68" t="e">
        <f>IPF!#REF!-IPF!#REF!*'IPF - RW'!$U$64</f>
        <v>#REF!</v>
      </c>
      <c r="L71" s="68" t="e">
        <f>IPF!#REF!-IPF!#REF!*'IPF - RW'!$U$64</f>
        <v>#REF!</v>
      </c>
      <c r="M71" s="56">
        <v>0</v>
      </c>
      <c r="N71" s="57">
        <v>0</v>
      </c>
      <c r="O71" s="58" t="e">
        <f>(D71+H71)</f>
        <v>#REF!</v>
      </c>
      <c r="P71" s="41">
        <v>0.1</v>
      </c>
      <c r="Q71" s="10"/>
      <c r="R71" s="10"/>
      <c r="S71" s="10"/>
      <c r="T71" s="48">
        <v>0</v>
      </c>
    </row>
    <row r="72" spans="1:21" ht="16.5">
      <c r="A72" s="12" t="s">
        <v>68</v>
      </c>
      <c r="B72" s="8" t="s">
        <v>69</v>
      </c>
      <c r="C72" s="49" t="s">
        <v>162</v>
      </c>
      <c r="D72" s="4">
        <f>D73+D74</f>
        <v>15161419</v>
      </c>
      <c r="E72" s="9">
        <v>0</v>
      </c>
      <c r="F72" s="4">
        <v>0</v>
      </c>
      <c r="G72" s="4">
        <f>G73+G74</f>
        <v>15161419</v>
      </c>
      <c r="H72" s="16" t="e">
        <f t="shared" ref="H72:O72" si="45">H73+H74</f>
        <v>#REF!</v>
      </c>
      <c r="I72" s="15" t="e">
        <f t="shared" si="45"/>
        <v>#REF!</v>
      </c>
      <c r="J72" s="4" t="e">
        <f t="shared" si="45"/>
        <v>#REF!</v>
      </c>
      <c r="K72" s="4" t="e">
        <f t="shared" si="45"/>
        <v>#REF!</v>
      </c>
      <c r="L72" s="4" t="e">
        <f t="shared" si="45"/>
        <v>#REF!</v>
      </c>
      <c r="M72" s="4">
        <f t="shared" si="45"/>
        <v>0</v>
      </c>
      <c r="N72" s="15">
        <f t="shared" si="45"/>
        <v>0</v>
      </c>
      <c r="O72" s="9" t="e">
        <f t="shared" si="45"/>
        <v>#REF!</v>
      </c>
      <c r="P72" s="41">
        <v>0.1</v>
      </c>
      <c r="Q72" s="10"/>
      <c r="R72" s="10"/>
      <c r="S72" s="10"/>
      <c r="T72" s="48">
        <v>0</v>
      </c>
    </row>
    <row r="73" spans="1:21" ht="22.5">
      <c r="A73" s="12" t="s">
        <v>70</v>
      </c>
      <c r="B73" s="8" t="s">
        <v>69</v>
      </c>
      <c r="C73" s="49" t="s">
        <v>162</v>
      </c>
      <c r="D73" s="5">
        <f t="shared" ref="D73:D74" si="46">E73+F73+G73</f>
        <v>14161419</v>
      </c>
      <c r="E73" s="9">
        <v>0</v>
      </c>
      <c r="F73" s="4">
        <v>0</v>
      </c>
      <c r="G73" s="4">
        <v>14161419</v>
      </c>
      <c r="H73" s="16" t="e">
        <f t="shared" si="7"/>
        <v>#REF!</v>
      </c>
      <c r="I73" s="15" t="e">
        <f t="shared" si="35"/>
        <v>#REF!</v>
      </c>
      <c r="J73" s="68" t="e">
        <f>IPF!#REF!-IPF!#REF!*'IPF - RW'!$U$64</f>
        <v>#REF!</v>
      </c>
      <c r="K73" s="68" t="e">
        <f>IPF!#REF!-IPF!#REF!*'IPF - RW'!$U$64</f>
        <v>#REF!</v>
      </c>
      <c r="L73" s="68" t="e">
        <f>IPF!#REF!-IPF!#REF!*'IPF - RW'!$U$64</f>
        <v>#REF!</v>
      </c>
      <c r="M73" s="4">
        <v>0</v>
      </c>
      <c r="N73" s="15">
        <v>0</v>
      </c>
      <c r="O73" s="9" t="e">
        <f>(D73+H73)</f>
        <v>#REF!</v>
      </c>
      <c r="P73" s="41">
        <v>0.1</v>
      </c>
      <c r="Q73" s="10"/>
      <c r="R73" s="10"/>
      <c r="S73" s="10"/>
      <c r="T73" s="48">
        <v>0</v>
      </c>
    </row>
    <row r="74" spans="1:21" ht="22.5">
      <c r="A74" s="12" t="s">
        <v>163</v>
      </c>
      <c r="B74" s="8" t="s">
        <v>69</v>
      </c>
      <c r="C74" s="49" t="s">
        <v>162</v>
      </c>
      <c r="D74" s="5">
        <f t="shared" si="46"/>
        <v>1000000</v>
      </c>
      <c r="E74" s="9">
        <v>0</v>
      </c>
      <c r="F74" s="4">
        <v>0</v>
      </c>
      <c r="G74" s="4">
        <v>1000000</v>
      </c>
      <c r="H74" s="16" t="e">
        <f t="shared" si="7"/>
        <v>#REF!</v>
      </c>
      <c r="I74" s="15" t="e">
        <f t="shared" si="35"/>
        <v>#REF!</v>
      </c>
      <c r="J74" s="68" t="e">
        <f>IPF!#REF!-IPF!#REF!*'IPF - RW'!$U$64</f>
        <v>#REF!</v>
      </c>
      <c r="K74" s="68" t="e">
        <f>IPF!#REF!-IPF!#REF!*'IPF - RW'!$U$64</f>
        <v>#REF!</v>
      </c>
      <c r="L74" s="68" t="e">
        <f>IPF!#REF!-IPF!#REF!*'IPF - RW'!$U$64</f>
        <v>#REF!</v>
      </c>
      <c r="M74" s="4">
        <v>0</v>
      </c>
      <c r="N74" s="15">
        <v>0</v>
      </c>
      <c r="O74" s="9" t="e">
        <f>(D74+H74)</f>
        <v>#REF!</v>
      </c>
      <c r="P74" s="41">
        <v>0.1</v>
      </c>
      <c r="Q74" s="10"/>
      <c r="R74" s="10"/>
      <c r="S74" s="10"/>
      <c r="T74" s="48">
        <v>0</v>
      </c>
    </row>
    <row r="75" spans="1:21" s="40" customFormat="1" ht="33.75">
      <c r="A75" s="37" t="s">
        <v>71</v>
      </c>
      <c r="B75" s="36"/>
      <c r="C75" s="49" t="s">
        <v>162</v>
      </c>
      <c r="D75" s="35">
        <f>D76+D80+D84+D85+D88</f>
        <v>79854611</v>
      </c>
      <c r="E75" s="34">
        <f t="shared" ref="E75:O75" si="47">E76+E80+E84+E85+E88</f>
        <v>0</v>
      </c>
      <c r="F75" s="35">
        <f t="shared" si="47"/>
        <v>0</v>
      </c>
      <c r="G75" s="35">
        <f t="shared" si="47"/>
        <v>79854611</v>
      </c>
      <c r="H75" s="45" t="e">
        <f t="shared" si="47"/>
        <v>#REF!</v>
      </c>
      <c r="I75" s="17" t="e">
        <f t="shared" si="47"/>
        <v>#REF!</v>
      </c>
      <c r="J75" s="35" t="e">
        <f t="shared" si="47"/>
        <v>#REF!</v>
      </c>
      <c r="K75" s="35" t="e">
        <f t="shared" si="47"/>
        <v>#REF!</v>
      </c>
      <c r="L75" s="35" t="e">
        <f t="shared" si="47"/>
        <v>#REF!</v>
      </c>
      <c r="M75" s="35">
        <f t="shared" si="47"/>
        <v>0</v>
      </c>
      <c r="N75" s="17">
        <f t="shared" si="47"/>
        <v>0</v>
      </c>
      <c r="O75" s="34" t="e">
        <f t="shared" si="47"/>
        <v>#REF!</v>
      </c>
      <c r="P75" s="42"/>
      <c r="Q75" s="34">
        <f>(D75-R75)</f>
        <v>74267903</v>
      </c>
      <c r="R75" s="38">
        <v>5586708</v>
      </c>
      <c r="S75" s="39">
        <f>(R75/D75)</f>
        <v>6.9960994487844916E-2</v>
      </c>
      <c r="T75" s="47">
        <v>0</v>
      </c>
      <c r="U75" s="80">
        <v>6.9960994487844916E-2</v>
      </c>
    </row>
    <row r="76" spans="1:21" s="50" customFormat="1" ht="16.5">
      <c r="A76" s="12" t="s">
        <v>72</v>
      </c>
      <c r="B76" s="8" t="s">
        <v>73</v>
      </c>
      <c r="C76" s="49" t="s">
        <v>162</v>
      </c>
      <c r="D76" s="60">
        <f>D77+D78+D79</f>
        <v>15057500</v>
      </c>
      <c r="E76" s="61">
        <v>0</v>
      </c>
      <c r="F76" s="60">
        <v>0</v>
      </c>
      <c r="G76" s="60">
        <f>G77+G78+G79</f>
        <v>15057500</v>
      </c>
      <c r="H76" s="62" t="e">
        <f t="shared" ref="H76:O76" si="48">H77+H78+H79</f>
        <v>#REF!</v>
      </c>
      <c r="I76" s="63" t="e">
        <f t="shared" si="48"/>
        <v>#REF!</v>
      </c>
      <c r="J76" s="60">
        <f t="shared" si="48"/>
        <v>0</v>
      </c>
      <c r="K76" s="60">
        <f t="shared" si="48"/>
        <v>0</v>
      </c>
      <c r="L76" s="60" t="e">
        <f t="shared" si="48"/>
        <v>#REF!</v>
      </c>
      <c r="M76" s="60">
        <f t="shared" si="48"/>
        <v>0</v>
      </c>
      <c r="N76" s="63">
        <f t="shared" si="48"/>
        <v>0</v>
      </c>
      <c r="O76" s="61" t="e">
        <f t="shared" si="48"/>
        <v>#REF!</v>
      </c>
      <c r="P76" s="41">
        <v>0.1</v>
      </c>
      <c r="Q76" s="10"/>
      <c r="R76" s="10"/>
      <c r="S76" s="10"/>
      <c r="T76" s="48">
        <v>0</v>
      </c>
    </row>
    <row r="77" spans="1:21" s="50" customFormat="1" ht="22.5">
      <c r="A77" s="12" t="s">
        <v>74</v>
      </c>
      <c r="B77" s="8" t="s">
        <v>73</v>
      </c>
      <c r="C77" s="49" t="s">
        <v>162</v>
      </c>
      <c r="D77" s="64">
        <f t="shared" ref="D77:D79" si="49">E77+F77+G77</f>
        <v>13800000</v>
      </c>
      <c r="E77" s="61">
        <v>0</v>
      </c>
      <c r="F77" s="60">
        <v>0</v>
      </c>
      <c r="G77" s="60">
        <v>13800000</v>
      </c>
      <c r="H77" s="62" t="e">
        <f t="shared" si="7"/>
        <v>#REF!</v>
      </c>
      <c r="I77" s="63" t="e">
        <f t="shared" ref="I77:I79" si="50">J77+K77+L77+M77</f>
        <v>#REF!</v>
      </c>
      <c r="J77" s="60">
        <v>0</v>
      </c>
      <c r="K77" s="60">
        <v>0</v>
      </c>
      <c r="L77" s="68" t="e">
        <f>IPF!#REF!-IPF!#REF!*'IPF - RW'!$U$75</f>
        <v>#REF!</v>
      </c>
      <c r="M77" s="60">
        <v>0</v>
      </c>
      <c r="N77" s="63">
        <v>0</v>
      </c>
      <c r="O77" s="61" t="e">
        <f>(D77+H77)</f>
        <v>#REF!</v>
      </c>
      <c r="P77" s="41">
        <v>0.1</v>
      </c>
      <c r="Q77" s="10"/>
      <c r="R77" s="10"/>
      <c r="S77" s="10"/>
      <c r="T77" s="48">
        <v>0</v>
      </c>
    </row>
    <row r="78" spans="1:21" s="50" customFormat="1" ht="22.5">
      <c r="A78" s="12" t="s">
        <v>75</v>
      </c>
      <c r="B78" s="8" t="s">
        <v>73</v>
      </c>
      <c r="C78" s="49" t="s">
        <v>162</v>
      </c>
      <c r="D78" s="64">
        <f t="shared" si="49"/>
        <v>557500</v>
      </c>
      <c r="E78" s="61">
        <v>0</v>
      </c>
      <c r="F78" s="60">
        <v>0</v>
      </c>
      <c r="G78" s="60">
        <v>557500</v>
      </c>
      <c r="H78" s="62" t="e">
        <f t="shared" si="7"/>
        <v>#REF!</v>
      </c>
      <c r="I78" s="63" t="e">
        <f t="shared" si="50"/>
        <v>#REF!</v>
      </c>
      <c r="J78" s="60">
        <v>0</v>
      </c>
      <c r="K78" s="60">
        <v>0</v>
      </c>
      <c r="L78" s="68" t="e">
        <f>IPF!#REF!-IPF!#REF!*'IPF - RW'!$U$75</f>
        <v>#REF!</v>
      </c>
      <c r="M78" s="60">
        <v>0</v>
      </c>
      <c r="N78" s="63">
        <v>0</v>
      </c>
      <c r="O78" s="61" t="e">
        <f>(D78+H78)</f>
        <v>#REF!</v>
      </c>
      <c r="P78" s="41">
        <v>0.1</v>
      </c>
      <c r="Q78" s="10"/>
      <c r="R78" s="10"/>
      <c r="S78" s="10"/>
      <c r="T78" s="48">
        <v>0</v>
      </c>
    </row>
    <row r="79" spans="1:21" s="50" customFormat="1" ht="22.5">
      <c r="A79" s="12" t="s">
        <v>76</v>
      </c>
      <c r="B79" s="8" t="s">
        <v>73</v>
      </c>
      <c r="C79" s="49" t="s">
        <v>162</v>
      </c>
      <c r="D79" s="64">
        <f t="shared" si="49"/>
        <v>700000</v>
      </c>
      <c r="E79" s="61">
        <v>0</v>
      </c>
      <c r="F79" s="60">
        <v>0</v>
      </c>
      <c r="G79" s="60">
        <v>700000</v>
      </c>
      <c r="H79" s="62" t="e">
        <f t="shared" ref="H79:H101" si="51">(I79+N79)</f>
        <v>#REF!</v>
      </c>
      <c r="I79" s="63" t="e">
        <f t="shared" si="50"/>
        <v>#REF!</v>
      </c>
      <c r="J79" s="60">
        <v>0</v>
      </c>
      <c r="K79" s="60">
        <v>0</v>
      </c>
      <c r="L79" s="68" t="e">
        <f>IPF!#REF!-IPF!#REF!*'IPF - RW'!$U$75</f>
        <v>#REF!</v>
      </c>
      <c r="M79" s="60">
        <v>0</v>
      </c>
      <c r="N79" s="63">
        <v>0</v>
      </c>
      <c r="O79" s="61" t="e">
        <f>(D79+H79)</f>
        <v>#REF!</v>
      </c>
      <c r="P79" s="41">
        <v>0.1</v>
      </c>
      <c r="Q79" s="10"/>
      <c r="R79" s="10"/>
      <c r="S79" s="10"/>
      <c r="T79" s="48">
        <v>0</v>
      </c>
    </row>
    <row r="80" spans="1:21" s="50" customFormat="1" ht="16.5">
      <c r="A80" s="12" t="s">
        <v>77</v>
      </c>
      <c r="B80" s="8" t="s">
        <v>73</v>
      </c>
      <c r="C80" s="49" t="s">
        <v>162</v>
      </c>
      <c r="D80" s="60">
        <f>D81+D82+D83</f>
        <v>11804492</v>
      </c>
      <c r="E80" s="61">
        <v>0</v>
      </c>
      <c r="F80" s="60">
        <v>0</v>
      </c>
      <c r="G80" s="60">
        <f>G81+G82+G83</f>
        <v>11804492</v>
      </c>
      <c r="H80" s="62" t="e">
        <f t="shared" ref="H80:O80" si="52">H81+H82+H83</f>
        <v>#REF!</v>
      </c>
      <c r="I80" s="63" t="e">
        <f t="shared" si="52"/>
        <v>#REF!</v>
      </c>
      <c r="J80" s="60" t="e">
        <f t="shared" si="52"/>
        <v>#REF!</v>
      </c>
      <c r="K80" s="60">
        <f t="shared" si="52"/>
        <v>0</v>
      </c>
      <c r="L80" s="60" t="e">
        <f t="shared" si="52"/>
        <v>#REF!</v>
      </c>
      <c r="M80" s="60">
        <f t="shared" si="52"/>
        <v>0</v>
      </c>
      <c r="N80" s="63">
        <f t="shared" si="52"/>
        <v>0</v>
      </c>
      <c r="O80" s="61" t="e">
        <f t="shared" si="52"/>
        <v>#REF!</v>
      </c>
      <c r="P80" s="41">
        <v>0.1</v>
      </c>
      <c r="Q80" s="10"/>
      <c r="R80" s="10"/>
      <c r="S80" s="10"/>
      <c r="T80" s="48">
        <v>0</v>
      </c>
    </row>
    <row r="81" spans="1:21" s="50" customFormat="1" ht="22.5">
      <c r="A81" s="12" t="s">
        <v>78</v>
      </c>
      <c r="B81" s="8" t="s">
        <v>73</v>
      </c>
      <c r="C81" s="49" t="s">
        <v>162</v>
      </c>
      <c r="D81" s="64">
        <f t="shared" ref="D81:D83" si="53">E81+F81+G81</f>
        <v>4734410</v>
      </c>
      <c r="E81" s="61">
        <v>0</v>
      </c>
      <c r="F81" s="60">
        <v>0</v>
      </c>
      <c r="G81" s="60">
        <v>4734410</v>
      </c>
      <c r="H81" s="62" t="e">
        <f t="shared" si="51"/>
        <v>#REF!</v>
      </c>
      <c r="I81" s="63" t="e">
        <f t="shared" ref="I81:I84" si="54">J81+K81+L81+M81</f>
        <v>#REF!</v>
      </c>
      <c r="J81" s="68" t="e">
        <f>IPF!#REF!-IPF!#REF!*'IPF - RW'!$U$75</f>
        <v>#REF!</v>
      </c>
      <c r="K81" s="60">
        <v>0</v>
      </c>
      <c r="L81" s="68" t="e">
        <f>IPF!#REF!-IPF!#REF!*'IPF - RW'!$U$75</f>
        <v>#REF!</v>
      </c>
      <c r="M81" s="60">
        <v>0</v>
      </c>
      <c r="N81" s="63">
        <v>0</v>
      </c>
      <c r="O81" s="61" t="e">
        <f>(D81+H81)</f>
        <v>#REF!</v>
      </c>
      <c r="P81" s="41">
        <v>0.1</v>
      </c>
      <c r="Q81" s="10"/>
      <c r="R81" s="10"/>
      <c r="S81" s="10"/>
      <c r="T81" s="48">
        <v>0</v>
      </c>
    </row>
    <row r="82" spans="1:21" s="50" customFormat="1" ht="22.5">
      <c r="A82" s="12" t="s">
        <v>79</v>
      </c>
      <c r="B82" s="8" t="s">
        <v>73</v>
      </c>
      <c r="C82" s="49" t="s">
        <v>162</v>
      </c>
      <c r="D82" s="64">
        <f t="shared" si="53"/>
        <v>1783565</v>
      </c>
      <c r="E82" s="61">
        <v>0</v>
      </c>
      <c r="F82" s="60">
        <v>0</v>
      </c>
      <c r="G82" s="60">
        <v>1783565</v>
      </c>
      <c r="H82" s="62" t="e">
        <f t="shared" si="51"/>
        <v>#REF!</v>
      </c>
      <c r="I82" s="63" t="e">
        <f t="shared" si="54"/>
        <v>#REF!</v>
      </c>
      <c r="J82" s="68" t="e">
        <f>IPF!#REF!-IPF!#REF!*'IPF - RW'!$U$75</f>
        <v>#REF!</v>
      </c>
      <c r="K82" s="60">
        <v>0</v>
      </c>
      <c r="L82" s="68" t="e">
        <f>IPF!#REF!-IPF!#REF!*'IPF - RW'!$U$75</f>
        <v>#REF!</v>
      </c>
      <c r="M82" s="60">
        <v>0</v>
      </c>
      <c r="N82" s="63">
        <v>0</v>
      </c>
      <c r="O82" s="61" t="e">
        <f>(D82+H82)</f>
        <v>#REF!</v>
      </c>
      <c r="P82" s="41">
        <v>0.1</v>
      </c>
      <c r="Q82" s="10"/>
      <c r="R82" s="10"/>
      <c r="S82" s="10"/>
      <c r="T82" s="48">
        <v>0</v>
      </c>
    </row>
    <row r="83" spans="1:21" s="50" customFormat="1" ht="22.5">
      <c r="A83" s="12" t="s">
        <v>80</v>
      </c>
      <c r="B83" s="8" t="s">
        <v>73</v>
      </c>
      <c r="C83" s="49" t="s">
        <v>162</v>
      </c>
      <c r="D83" s="5">
        <f t="shared" si="53"/>
        <v>5286517</v>
      </c>
      <c r="E83" s="9">
        <v>0</v>
      </c>
      <c r="F83" s="4">
        <v>0</v>
      </c>
      <c r="G83" s="4">
        <v>5286517</v>
      </c>
      <c r="H83" s="16" t="e">
        <f t="shared" si="51"/>
        <v>#REF!</v>
      </c>
      <c r="I83" s="15" t="e">
        <f t="shared" si="54"/>
        <v>#REF!</v>
      </c>
      <c r="J83" s="68" t="e">
        <f>IPF!#REF!-IPF!#REF!*'IPF - RW'!$U$75</f>
        <v>#REF!</v>
      </c>
      <c r="K83" s="4">
        <v>0</v>
      </c>
      <c r="L83" s="68" t="e">
        <f>IPF!#REF!-IPF!#REF!*'IPF - RW'!$U$75</f>
        <v>#REF!</v>
      </c>
      <c r="M83" s="4">
        <v>0</v>
      </c>
      <c r="N83" s="15">
        <v>0</v>
      </c>
      <c r="O83" s="9" t="e">
        <f>(D83+H83)</f>
        <v>#REF!</v>
      </c>
      <c r="P83" s="41">
        <v>0.1</v>
      </c>
      <c r="Q83" s="10"/>
      <c r="R83" s="10"/>
      <c r="S83" s="10"/>
      <c r="T83" s="48">
        <v>0</v>
      </c>
    </row>
    <row r="84" spans="1:21" ht="16.5">
      <c r="A84" s="12" t="s">
        <v>81</v>
      </c>
      <c r="B84" s="8" t="s">
        <v>82</v>
      </c>
      <c r="C84" s="49" t="s">
        <v>162</v>
      </c>
      <c r="D84" s="5">
        <f>E84+F84+G84</f>
        <v>7580709</v>
      </c>
      <c r="E84" s="9">
        <v>0</v>
      </c>
      <c r="F84" s="4">
        <v>0</v>
      </c>
      <c r="G84" s="4">
        <v>7580709</v>
      </c>
      <c r="H84" s="16">
        <f t="shared" si="51"/>
        <v>822891.18118146434</v>
      </c>
      <c r="I84" s="15">
        <f t="shared" si="54"/>
        <v>822891.18118146434</v>
      </c>
      <c r="J84" s="68">
        <f>IPF!K70-IPF!K70*'IPF - RW'!$U$75</f>
        <v>414726.71349400224</v>
      </c>
      <c r="K84" s="4">
        <v>0</v>
      </c>
      <c r="L84" s="68">
        <f>IPF!L70-IPF!L70*'IPF - RW'!$U$75</f>
        <v>408164.46768746217</v>
      </c>
      <c r="M84" s="4">
        <v>0</v>
      </c>
      <c r="N84" s="15">
        <v>0</v>
      </c>
      <c r="O84" s="9">
        <f>(D84+H84)</f>
        <v>8403600.1811814643</v>
      </c>
      <c r="P84" s="41">
        <v>0.1</v>
      </c>
      <c r="Q84" s="10"/>
      <c r="R84" s="10"/>
      <c r="S84" s="10"/>
      <c r="T84" s="48">
        <v>0</v>
      </c>
    </row>
    <row r="85" spans="1:21" ht="16.5">
      <c r="A85" s="12" t="s">
        <v>83</v>
      </c>
      <c r="B85" s="8" t="s">
        <v>84</v>
      </c>
      <c r="C85" s="49" t="s">
        <v>162</v>
      </c>
      <c r="D85" s="4">
        <f>D86+D87</f>
        <v>39411910</v>
      </c>
      <c r="E85" s="9">
        <v>0</v>
      </c>
      <c r="F85" s="4">
        <v>0</v>
      </c>
      <c r="G85" s="4">
        <f>G86+G87</f>
        <v>39411910</v>
      </c>
      <c r="H85" s="16" t="e">
        <f t="shared" ref="H85:O85" si="55">H86+H87</f>
        <v>#REF!</v>
      </c>
      <c r="I85" s="15" t="e">
        <f t="shared" si="55"/>
        <v>#REF!</v>
      </c>
      <c r="J85" s="4" t="e">
        <f t="shared" si="55"/>
        <v>#REF!</v>
      </c>
      <c r="K85" s="4" t="e">
        <f t="shared" si="55"/>
        <v>#REF!</v>
      </c>
      <c r="L85" s="4" t="e">
        <f t="shared" si="55"/>
        <v>#REF!</v>
      </c>
      <c r="M85" s="4">
        <f t="shared" si="55"/>
        <v>0</v>
      </c>
      <c r="N85" s="15">
        <f t="shared" si="55"/>
        <v>0</v>
      </c>
      <c r="O85" s="9" t="e">
        <f t="shared" si="55"/>
        <v>#REF!</v>
      </c>
      <c r="P85" s="41">
        <v>0.1</v>
      </c>
      <c r="Q85" s="10"/>
      <c r="R85" s="10"/>
      <c r="S85" s="10"/>
      <c r="T85" s="48">
        <v>0</v>
      </c>
    </row>
    <row r="86" spans="1:21" ht="22.5">
      <c r="A86" s="12" t="s">
        <v>85</v>
      </c>
      <c r="B86" s="8" t="s">
        <v>84</v>
      </c>
      <c r="C86" s="49" t="s">
        <v>162</v>
      </c>
      <c r="D86" s="5">
        <f t="shared" ref="D86:D87" si="56">E86+F86+G86</f>
        <v>34922410</v>
      </c>
      <c r="E86" s="9">
        <v>0</v>
      </c>
      <c r="F86" s="4">
        <v>0</v>
      </c>
      <c r="G86" s="5">
        <v>34922410</v>
      </c>
      <c r="H86" s="16" t="e">
        <f t="shared" si="51"/>
        <v>#REF!</v>
      </c>
      <c r="I86" s="15" t="e">
        <f t="shared" ref="I86:I88" si="57">J86+K86+L86+M86</f>
        <v>#REF!</v>
      </c>
      <c r="J86" s="68" t="e">
        <f>IPF!#REF!-IPF!#REF!*'IPF - RW'!$U$75</f>
        <v>#REF!</v>
      </c>
      <c r="K86" s="68" t="e">
        <f>IPF!#REF!-IPF!#REF!*'IPF - RW'!$U$75</f>
        <v>#REF!</v>
      </c>
      <c r="L86" s="68" t="e">
        <f>IPF!#REF!-IPF!#REF!*'IPF - RW'!$U$75</f>
        <v>#REF!</v>
      </c>
      <c r="M86" s="4">
        <v>0</v>
      </c>
      <c r="N86" s="15">
        <v>0</v>
      </c>
      <c r="O86" s="9" t="e">
        <f>(D86+H86)</f>
        <v>#REF!</v>
      </c>
      <c r="P86" s="41">
        <v>0.1</v>
      </c>
      <c r="Q86" s="10"/>
      <c r="R86" s="10"/>
      <c r="S86" s="10"/>
      <c r="T86" s="48">
        <v>0</v>
      </c>
    </row>
    <row r="87" spans="1:21" ht="22.5">
      <c r="A87" s="12" t="s">
        <v>86</v>
      </c>
      <c r="B87" s="8" t="s">
        <v>84</v>
      </c>
      <c r="C87" s="49" t="s">
        <v>162</v>
      </c>
      <c r="D87" s="5">
        <f t="shared" si="56"/>
        <v>4489500</v>
      </c>
      <c r="E87" s="9">
        <v>0</v>
      </c>
      <c r="F87" s="4">
        <v>0</v>
      </c>
      <c r="G87" s="5">
        <v>4489500</v>
      </c>
      <c r="H87" s="16" t="e">
        <f t="shared" si="51"/>
        <v>#REF!</v>
      </c>
      <c r="I87" s="15" t="e">
        <f t="shared" si="57"/>
        <v>#REF!</v>
      </c>
      <c r="J87" s="68" t="e">
        <f>IPF!#REF!-IPF!#REF!*'IPF - RW'!$U$75</f>
        <v>#REF!</v>
      </c>
      <c r="K87" s="68" t="e">
        <f>IPF!#REF!-IPF!#REF!*'IPF - RW'!$U$75</f>
        <v>#REF!</v>
      </c>
      <c r="L87" s="68" t="e">
        <f>IPF!#REF!-IPF!#REF!*'IPF - RW'!$U$75</f>
        <v>#REF!</v>
      </c>
      <c r="M87" s="4">
        <v>0</v>
      </c>
      <c r="N87" s="15">
        <v>0</v>
      </c>
      <c r="O87" s="9" t="e">
        <f>(D87+H87)</f>
        <v>#REF!</v>
      </c>
      <c r="P87" s="41">
        <v>0.1</v>
      </c>
      <c r="Q87" s="10"/>
      <c r="R87" s="10"/>
      <c r="S87" s="10"/>
      <c r="T87" s="48">
        <v>0</v>
      </c>
    </row>
    <row r="88" spans="1:21" ht="16.5">
      <c r="A88" s="12" t="s">
        <v>87</v>
      </c>
      <c r="B88" s="8" t="s">
        <v>84</v>
      </c>
      <c r="C88" s="49" t="s">
        <v>162</v>
      </c>
      <c r="D88" s="5">
        <f>E88+F88+G88</f>
        <v>6000000</v>
      </c>
      <c r="E88" s="9">
        <v>0</v>
      </c>
      <c r="F88" s="4">
        <v>0</v>
      </c>
      <c r="G88" s="4">
        <v>6000000</v>
      </c>
      <c r="H88" s="16" t="e">
        <f t="shared" si="51"/>
        <v>#REF!</v>
      </c>
      <c r="I88" s="15" t="e">
        <f t="shared" si="57"/>
        <v>#REF!</v>
      </c>
      <c r="J88" s="68" t="e">
        <f>IPF!#REF!-IPF!#REF!*'IPF - RW'!$U$75</f>
        <v>#REF!</v>
      </c>
      <c r="K88" s="68" t="e">
        <f>IPF!#REF!-IPF!#REF!*'IPF - RW'!$U$75</f>
        <v>#REF!</v>
      </c>
      <c r="L88" s="68" t="e">
        <f>IPF!#REF!-IPF!#REF!*'IPF - RW'!$U$75</f>
        <v>#REF!</v>
      </c>
      <c r="M88" s="4">
        <v>0</v>
      </c>
      <c r="N88" s="15">
        <v>0</v>
      </c>
      <c r="O88" s="9" t="e">
        <f>(D88+H88)</f>
        <v>#REF!</v>
      </c>
      <c r="P88" s="41">
        <v>0.1</v>
      </c>
      <c r="Q88" s="10"/>
      <c r="R88" s="10"/>
      <c r="S88" s="10"/>
      <c r="T88" s="48">
        <v>0</v>
      </c>
    </row>
    <row r="89" spans="1:21" s="40" customFormat="1" ht="33.75">
      <c r="A89" s="37" t="s">
        <v>157</v>
      </c>
      <c r="B89" s="36"/>
      <c r="C89" s="49" t="s">
        <v>162</v>
      </c>
      <c r="D89" s="68">
        <f>(D90+D93+D97)</f>
        <v>85684241</v>
      </c>
      <c r="E89" s="70">
        <v>0</v>
      </c>
      <c r="F89" s="68">
        <f>(F90+F93+F97)</f>
        <v>85684241</v>
      </c>
      <c r="G89" s="68">
        <v>0</v>
      </c>
      <c r="H89" s="67" t="e">
        <f t="shared" ref="H89:O89" si="58">(H90+H93+H97)</f>
        <v>#REF!</v>
      </c>
      <c r="I89" s="69" t="e">
        <f t="shared" si="58"/>
        <v>#REF!</v>
      </c>
      <c r="J89" s="68" t="e">
        <f t="shared" si="58"/>
        <v>#REF!</v>
      </c>
      <c r="K89" s="68" t="e">
        <f t="shared" si="58"/>
        <v>#REF!</v>
      </c>
      <c r="L89" s="68" t="e">
        <f t="shared" si="58"/>
        <v>#REF!</v>
      </c>
      <c r="M89" s="68">
        <f t="shared" si="58"/>
        <v>0</v>
      </c>
      <c r="N89" s="69">
        <f t="shared" si="58"/>
        <v>0</v>
      </c>
      <c r="O89" s="70" t="e">
        <f t="shared" si="58"/>
        <v>#REF!</v>
      </c>
      <c r="P89" s="42"/>
      <c r="Q89" s="70">
        <f>(D89-R89)</f>
        <v>79712049</v>
      </c>
      <c r="R89" s="78">
        <v>5972192</v>
      </c>
      <c r="S89" s="79">
        <f>(R89/D89)</f>
        <v>6.9700004695145756E-2</v>
      </c>
      <c r="T89" s="47">
        <v>0</v>
      </c>
      <c r="U89" s="80">
        <v>6.9700004695145756E-2</v>
      </c>
    </row>
    <row r="90" spans="1:21" ht="16.5">
      <c r="A90" s="12" t="s">
        <v>143</v>
      </c>
      <c r="B90" s="8" t="s">
        <v>146</v>
      </c>
      <c r="C90" s="49" t="s">
        <v>162</v>
      </c>
      <c r="D90" s="59">
        <f>D91+D92</f>
        <v>28434736</v>
      </c>
      <c r="E90" s="58">
        <v>0</v>
      </c>
      <c r="F90" s="59">
        <f>F91+F92</f>
        <v>28434736</v>
      </c>
      <c r="G90" s="56">
        <v>0</v>
      </c>
      <c r="H90" s="55" t="e">
        <f t="shared" ref="H90:O90" si="59">H91+H92</f>
        <v>#REF!</v>
      </c>
      <c r="I90" s="57" t="e">
        <f t="shared" si="59"/>
        <v>#REF!</v>
      </c>
      <c r="J90" s="56" t="e">
        <f t="shared" si="59"/>
        <v>#REF!</v>
      </c>
      <c r="K90" s="56" t="e">
        <f t="shared" si="59"/>
        <v>#REF!</v>
      </c>
      <c r="L90" s="56" t="e">
        <f t="shared" si="59"/>
        <v>#REF!</v>
      </c>
      <c r="M90" s="56">
        <f t="shared" si="59"/>
        <v>0</v>
      </c>
      <c r="N90" s="57">
        <f t="shared" si="59"/>
        <v>0</v>
      </c>
      <c r="O90" s="58" t="e">
        <f t="shared" si="59"/>
        <v>#REF!</v>
      </c>
      <c r="P90" s="41">
        <v>0.1</v>
      </c>
      <c r="Q90" s="10"/>
      <c r="R90" s="10"/>
      <c r="S90" s="10"/>
      <c r="T90" s="48">
        <v>0</v>
      </c>
    </row>
    <row r="91" spans="1:21" ht="22.5">
      <c r="A91" s="12" t="s">
        <v>144</v>
      </c>
      <c r="B91" s="8" t="s">
        <v>146</v>
      </c>
      <c r="C91" s="49" t="s">
        <v>162</v>
      </c>
      <c r="D91" s="59">
        <f t="shared" ref="D91:D92" si="60">E91+F91+G91</f>
        <v>26631297</v>
      </c>
      <c r="E91" s="58">
        <v>0</v>
      </c>
      <c r="F91" s="59">
        <v>26631297</v>
      </c>
      <c r="G91" s="56">
        <v>0</v>
      </c>
      <c r="H91" s="55" t="e">
        <f t="shared" si="51"/>
        <v>#REF!</v>
      </c>
      <c r="I91" s="57" t="e">
        <f t="shared" ref="I91:I92" si="61">J91+K91+L91+M91</f>
        <v>#REF!</v>
      </c>
      <c r="J91" s="68" t="e">
        <f>IPF!#REF!-IPF!#REF!*'IPF - RW'!$U$89</f>
        <v>#REF!</v>
      </c>
      <c r="K91" s="68" t="e">
        <f>IPF!#REF!-IPF!#REF!*'IPF - RW'!$U$89</f>
        <v>#REF!</v>
      </c>
      <c r="L91" s="68" t="e">
        <f>IPF!#REF!-IPF!#REF!*'IPF - RW'!$U$89</f>
        <v>#REF!</v>
      </c>
      <c r="M91" s="56">
        <v>0</v>
      </c>
      <c r="N91" s="57">
        <v>0</v>
      </c>
      <c r="O91" s="58" t="e">
        <f>(D91+H91)</f>
        <v>#REF!</v>
      </c>
      <c r="P91" s="41">
        <v>0.1</v>
      </c>
      <c r="Q91" s="10"/>
      <c r="R91" s="10"/>
      <c r="S91" s="10"/>
      <c r="T91" s="48">
        <v>0</v>
      </c>
    </row>
    <row r="92" spans="1:21" ht="22.5">
      <c r="A92" s="12" t="s">
        <v>145</v>
      </c>
      <c r="B92" s="8" t="s">
        <v>146</v>
      </c>
      <c r="C92" s="49" t="s">
        <v>162</v>
      </c>
      <c r="D92" s="5">
        <f t="shared" si="60"/>
        <v>1803439</v>
      </c>
      <c r="E92" s="9">
        <v>0</v>
      </c>
      <c r="F92" s="5">
        <v>1803439</v>
      </c>
      <c r="G92" s="4">
        <v>0</v>
      </c>
      <c r="H92" s="16" t="e">
        <f t="shared" si="51"/>
        <v>#REF!</v>
      </c>
      <c r="I92" s="15" t="e">
        <f t="shared" si="61"/>
        <v>#REF!</v>
      </c>
      <c r="J92" s="4">
        <v>0</v>
      </c>
      <c r="K92" s="68" t="e">
        <f>IPF!#REF!-IPF!#REF!*'IPF - RW'!$U$89</f>
        <v>#REF!</v>
      </c>
      <c r="L92" s="68" t="e">
        <f>IPF!#REF!-IPF!#REF!*'IPF - RW'!$U$89</f>
        <v>#REF!</v>
      </c>
      <c r="M92" s="4">
        <v>0</v>
      </c>
      <c r="N92" s="15">
        <v>0</v>
      </c>
      <c r="O92" s="9" t="e">
        <f>(D92+H92)</f>
        <v>#REF!</v>
      </c>
      <c r="P92" s="41">
        <v>0.1</v>
      </c>
      <c r="Q92" s="10"/>
      <c r="R92" s="10"/>
      <c r="S92" s="10"/>
      <c r="T92" s="48">
        <v>0</v>
      </c>
    </row>
    <row r="93" spans="1:21" ht="16.5">
      <c r="A93" s="12" t="s">
        <v>148</v>
      </c>
      <c r="B93" s="8" t="s">
        <v>147</v>
      </c>
      <c r="C93" s="49" t="s">
        <v>162</v>
      </c>
      <c r="D93" s="5">
        <f>D94+D95+D96</f>
        <v>32668420</v>
      </c>
      <c r="E93" s="9">
        <v>0</v>
      </c>
      <c r="F93" s="5">
        <f>F94+F95+F96</f>
        <v>32668420</v>
      </c>
      <c r="G93" s="4">
        <v>0</v>
      </c>
      <c r="H93" s="55" t="e">
        <f t="shared" ref="H93:O93" si="62">H94+H95+H96</f>
        <v>#REF!</v>
      </c>
      <c r="I93" s="57" t="e">
        <f t="shared" si="62"/>
        <v>#REF!</v>
      </c>
      <c r="J93" s="56" t="e">
        <f t="shared" si="62"/>
        <v>#REF!</v>
      </c>
      <c r="K93" s="56" t="e">
        <f t="shared" si="62"/>
        <v>#REF!</v>
      </c>
      <c r="L93" s="56" t="e">
        <f t="shared" si="62"/>
        <v>#REF!</v>
      </c>
      <c r="M93" s="56">
        <f t="shared" si="62"/>
        <v>0</v>
      </c>
      <c r="N93" s="57">
        <f t="shared" si="62"/>
        <v>0</v>
      </c>
      <c r="O93" s="58" t="e">
        <f t="shared" si="62"/>
        <v>#REF!</v>
      </c>
      <c r="P93" s="41">
        <v>0</v>
      </c>
      <c r="Q93" s="10"/>
      <c r="R93" s="10"/>
      <c r="S93" s="10"/>
      <c r="T93" s="48">
        <v>0</v>
      </c>
    </row>
    <row r="94" spans="1:21" ht="22.5">
      <c r="A94" s="12" t="s">
        <v>149</v>
      </c>
      <c r="B94" s="8" t="s">
        <v>147</v>
      </c>
      <c r="C94" s="49" t="s">
        <v>162</v>
      </c>
      <c r="D94" s="5">
        <f t="shared" ref="D94:D96" si="63">E94+F94+G94</f>
        <v>12998420</v>
      </c>
      <c r="E94" s="9">
        <v>0</v>
      </c>
      <c r="F94" s="5">
        <v>12998420</v>
      </c>
      <c r="G94" s="4">
        <v>0</v>
      </c>
      <c r="H94" s="55" t="e">
        <f t="shared" si="51"/>
        <v>#REF!</v>
      </c>
      <c r="I94" s="57" t="e">
        <f t="shared" ref="I94:I96" si="64">J94+K94+L94+M94</f>
        <v>#REF!</v>
      </c>
      <c r="J94" s="68" t="e">
        <f>IPF!#REF!-IPF!#REF!*'IPF - RW'!$U$89</f>
        <v>#REF!</v>
      </c>
      <c r="K94" s="68" t="e">
        <f>IPF!#REF!-IPF!#REF!*'IPF - RW'!$U$89</f>
        <v>#REF!</v>
      </c>
      <c r="L94" s="68" t="e">
        <f>IPF!#REF!-IPF!#REF!*'IPF - RW'!$U$89</f>
        <v>#REF!</v>
      </c>
      <c r="M94" s="56">
        <v>0</v>
      </c>
      <c r="N94" s="57">
        <v>0</v>
      </c>
      <c r="O94" s="58" t="e">
        <f>(D94+H94)</f>
        <v>#REF!</v>
      </c>
      <c r="P94" s="41">
        <v>0</v>
      </c>
      <c r="Q94" s="10"/>
      <c r="R94" s="10"/>
      <c r="S94" s="10"/>
      <c r="T94" s="48">
        <v>0</v>
      </c>
    </row>
    <row r="95" spans="1:21" ht="22.5">
      <c r="A95" s="12" t="s">
        <v>150</v>
      </c>
      <c r="B95" s="8" t="s">
        <v>147</v>
      </c>
      <c r="C95" s="49" t="s">
        <v>162</v>
      </c>
      <c r="D95" s="5">
        <f t="shared" si="63"/>
        <v>8084025</v>
      </c>
      <c r="E95" s="9">
        <v>0</v>
      </c>
      <c r="F95" s="5">
        <v>8084025</v>
      </c>
      <c r="G95" s="4">
        <v>0</v>
      </c>
      <c r="H95" s="55" t="e">
        <f t="shared" si="51"/>
        <v>#REF!</v>
      </c>
      <c r="I95" s="57" t="e">
        <f t="shared" si="64"/>
        <v>#REF!</v>
      </c>
      <c r="J95" s="68" t="e">
        <f>IPF!#REF!-IPF!#REF!*'IPF - RW'!$U$89</f>
        <v>#REF!</v>
      </c>
      <c r="K95" s="68" t="e">
        <f>IPF!#REF!-IPF!#REF!*'IPF - RW'!$U$89</f>
        <v>#REF!</v>
      </c>
      <c r="L95" s="68" t="e">
        <f>IPF!#REF!-IPF!#REF!*'IPF - RW'!$U$89</f>
        <v>#REF!</v>
      </c>
      <c r="M95" s="56">
        <v>0</v>
      </c>
      <c r="N95" s="57">
        <v>0</v>
      </c>
      <c r="O95" s="58" t="e">
        <f>(D95+H95)</f>
        <v>#REF!</v>
      </c>
      <c r="P95" s="41">
        <v>0</v>
      </c>
      <c r="Q95" s="10"/>
      <c r="R95" s="10"/>
      <c r="S95" s="10"/>
      <c r="T95" s="48">
        <v>0</v>
      </c>
    </row>
    <row r="96" spans="1:21" ht="22.5">
      <c r="A96" s="12" t="s">
        <v>151</v>
      </c>
      <c r="B96" s="8" t="s">
        <v>147</v>
      </c>
      <c r="C96" s="49" t="s">
        <v>162</v>
      </c>
      <c r="D96" s="5">
        <f t="shared" si="63"/>
        <v>11585975</v>
      </c>
      <c r="E96" s="9">
        <v>0</v>
      </c>
      <c r="F96" s="5">
        <v>11585975</v>
      </c>
      <c r="G96" s="4">
        <v>0</v>
      </c>
      <c r="H96" s="55" t="e">
        <f t="shared" si="51"/>
        <v>#REF!</v>
      </c>
      <c r="I96" s="57" t="e">
        <f t="shared" si="64"/>
        <v>#REF!</v>
      </c>
      <c r="J96" s="68" t="e">
        <f>IPF!#REF!-IPF!#REF!*'IPF - RW'!$U$89</f>
        <v>#REF!</v>
      </c>
      <c r="K96" s="68" t="e">
        <f>IPF!#REF!-IPF!#REF!*'IPF - RW'!$U$89</f>
        <v>#REF!</v>
      </c>
      <c r="L96" s="68" t="e">
        <f>IPF!#REF!-IPF!#REF!*'IPF - RW'!$U$89</f>
        <v>#REF!</v>
      </c>
      <c r="M96" s="56">
        <v>0</v>
      </c>
      <c r="N96" s="57">
        <v>0</v>
      </c>
      <c r="O96" s="58" t="e">
        <f>(D96+H96)</f>
        <v>#REF!</v>
      </c>
      <c r="P96" s="41">
        <v>0</v>
      </c>
      <c r="Q96" s="10"/>
      <c r="R96" s="10"/>
      <c r="S96" s="10"/>
      <c r="T96" s="48">
        <v>0</v>
      </c>
    </row>
    <row r="97" spans="1:20" ht="16.5">
      <c r="A97" s="12" t="s">
        <v>152</v>
      </c>
      <c r="B97" s="8" t="s">
        <v>153</v>
      </c>
      <c r="C97" s="49" t="s">
        <v>162</v>
      </c>
      <c r="D97" s="5">
        <f>D98+D99</f>
        <v>24581085</v>
      </c>
      <c r="E97" s="9">
        <v>0</v>
      </c>
      <c r="F97" s="5">
        <f>F98+F99</f>
        <v>24581085</v>
      </c>
      <c r="G97" s="4">
        <v>0</v>
      </c>
      <c r="H97" s="16" t="e">
        <f t="shared" ref="H97:O97" si="65">H98+H99</f>
        <v>#REF!</v>
      </c>
      <c r="I97" s="15" t="e">
        <f t="shared" si="65"/>
        <v>#REF!</v>
      </c>
      <c r="J97" s="56">
        <f t="shared" si="65"/>
        <v>0</v>
      </c>
      <c r="K97" s="4">
        <f t="shared" si="65"/>
        <v>0</v>
      </c>
      <c r="L97" s="56" t="e">
        <f t="shared" si="65"/>
        <v>#REF!</v>
      </c>
      <c r="M97" s="4">
        <f t="shared" si="65"/>
        <v>0</v>
      </c>
      <c r="N97" s="15">
        <f t="shared" si="65"/>
        <v>0</v>
      </c>
      <c r="O97" s="9" t="e">
        <f t="shared" si="65"/>
        <v>#REF!</v>
      </c>
      <c r="P97" s="41">
        <v>0.1</v>
      </c>
      <c r="Q97" s="10"/>
      <c r="R97" s="10"/>
      <c r="S97" s="10"/>
      <c r="T97" s="48">
        <v>0</v>
      </c>
    </row>
    <row r="98" spans="1:20" ht="22.5">
      <c r="A98" s="12" t="s">
        <v>154</v>
      </c>
      <c r="B98" s="8" t="s">
        <v>153</v>
      </c>
      <c r="C98" s="49" t="s">
        <v>162</v>
      </c>
      <c r="D98" s="5">
        <f t="shared" ref="D98:D99" si="66">E98+F98+G98</f>
        <v>17384273</v>
      </c>
      <c r="E98" s="9">
        <v>0</v>
      </c>
      <c r="F98" s="5">
        <v>17384273</v>
      </c>
      <c r="G98" s="4">
        <v>0</v>
      </c>
      <c r="H98" s="16" t="e">
        <f t="shared" si="51"/>
        <v>#REF!</v>
      </c>
      <c r="I98" s="15" t="e">
        <f t="shared" ref="I98:I101" si="67">J98+K98+L98+M98</f>
        <v>#REF!</v>
      </c>
      <c r="J98" s="56">
        <v>0</v>
      </c>
      <c r="K98" s="4">
        <v>0</v>
      </c>
      <c r="L98" s="68" t="e">
        <f>IPF!#REF!-IPF!#REF!*'IPF - RW'!$U$89</f>
        <v>#REF!</v>
      </c>
      <c r="M98" s="4">
        <v>0</v>
      </c>
      <c r="N98" s="15">
        <v>0</v>
      </c>
      <c r="O98" s="9" t="e">
        <f>(D98+H98)</f>
        <v>#REF!</v>
      </c>
      <c r="P98" s="41">
        <v>0.1</v>
      </c>
      <c r="Q98" s="10"/>
      <c r="R98" s="10"/>
      <c r="S98" s="10"/>
      <c r="T98" s="48">
        <v>0</v>
      </c>
    </row>
    <row r="99" spans="1:20" ht="22.5">
      <c r="A99" s="12" t="s">
        <v>155</v>
      </c>
      <c r="B99" s="8" t="s">
        <v>153</v>
      </c>
      <c r="C99" s="49" t="s">
        <v>162</v>
      </c>
      <c r="D99" s="5">
        <f t="shared" si="66"/>
        <v>7196812</v>
      </c>
      <c r="E99" s="9">
        <v>0</v>
      </c>
      <c r="F99" s="51">
        <v>7196812</v>
      </c>
      <c r="G99" s="4">
        <v>0</v>
      </c>
      <c r="H99" s="16" t="e">
        <f t="shared" si="51"/>
        <v>#REF!</v>
      </c>
      <c r="I99" s="15" t="e">
        <f t="shared" si="67"/>
        <v>#REF!</v>
      </c>
      <c r="J99" s="4">
        <v>0</v>
      </c>
      <c r="K99" s="4">
        <v>0</v>
      </c>
      <c r="L99" s="68" t="e">
        <f>IPF!#REF!-IPF!#REF!*'IPF - RW'!$U$89</f>
        <v>#REF!</v>
      </c>
      <c r="M99" s="4">
        <v>0</v>
      </c>
      <c r="N99" s="15">
        <v>0</v>
      </c>
      <c r="O99" s="9" t="e">
        <f>(D99+H99)</f>
        <v>#REF!</v>
      </c>
      <c r="P99" s="41">
        <v>0.1</v>
      </c>
      <c r="Q99" s="10"/>
      <c r="R99" s="10"/>
      <c r="S99" s="10"/>
      <c r="T99" s="48">
        <v>0</v>
      </c>
    </row>
    <row r="100" spans="1:20" s="40" customFormat="1" ht="33.75">
      <c r="A100" s="37" t="s">
        <v>156</v>
      </c>
      <c r="B100" s="36"/>
      <c r="C100" s="49" t="s">
        <v>162</v>
      </c>
      <c r="D100" s="35">
        <f>(D101)</f>
        <v>36098000</v>
      </c>
      <c r="E100" s="34">
        <v>0</v>
      </c>
      <c r="F100" s="35">
        <v>0</v>
      </c>
      <c r="G100" s="35">
        <f>(G101)</f>
        <v>36098000</v>
      </c>
      <c r="H100" s="45">
        <f t="shared" ref="H100:O100" si="68">(H101)</f>
        <v>6370236</v>
      </c>
      <c r="I100" s="17">
        <f t="shared" si="68"/>
        <v>6370236</v>
      </c>
      <c r="J100" s="35">
        <f t="shared" si="68"/>
        <v>0</v>
      </c>
      <c r="K100" s="35">
        <f t="shared" si="68"/>
        <v>6370236</v>
      </c>
      <c r="L100" s="35">
        <f t="shared" si="68"/>
        <v>0</v>
      </c>
      <c r="M100" s="35">
        <f t="shared" si="68"/>
        <v>0</v>
      </c>
      <c r="N100" s="17">
        <f t="shared" si="68"/>
        <v>0</v>
      </c>
      <c r="O100" s="34">
        <f t="shared" si="68"/>
        <v>42468236</v>
      </c>
      <c r="P100" s="42"/>
      <c r="Q100" s="34">
        <f>(D100-R100)</f>
        <v>36098000</v>
      </c>
      <c r="R100" s="36">
        <v>0</v>
      </c>
      <c r="S100" s="39">
        <f>(R100/D100)</f>
        <v>0</v>
      </c>
      <c r="T100" s="47">
        <v>0</v>
      </c>
    </row>
    <row r="101" spans="1:20" ht="16.5">
      <c r="A101" s="12" t="s">
        <v>159</v>
      </c>
      <c r="B101" s="8" t="s">
        <v>158</v>
      </c>
      <c r="C101" s="49" t="s">
        <v>162</v>
      </c>
      <c r="D101" s="5">
        <f>E101+F101+G101</f>
        <v>36098000</v>
      </c>
      <c r="E101" s="9">
        <v>0</v>
      </c>
      <c r="F101" s="4">
        <v>0</v>
      </c>
      <c r="G101" s="5">
        <v>36098000</v>
      </c>
      <c r="H101" s="16">
        <f t="shared" si="51"/>
        <v>6370236</v>
      </c>
      <c r="I101" s="15">
        <f t="shared" si="67"/>
        <v>6370236</v>
      </c>
      <c r="J101" s="4">
        <v>0</v>
      </c>
      <c r="K101" s="4">
        <v>6370236</v>
      </c>
      <c r="L101" s="4">
        <v>0</v>
      </c>
      <c r="M101" s="4">
        <v>0</v>
      </c>
      <c r="N101" s="15">
        <v>0</v>
      </c>
      <c r="O101" s="9">
        <f>(D101+H101)</f>
        <v>42468236</v>
      </c>
      <c r="P101" s="41"/>
      <c r="Q101" s="10"/>
      <c r="R101" s="10"/>
      <c r="S101" s="10"/>
      <c r="T101" s="48">
        <v>0</v>
      </c>
    </row>
    <row r="102" spans="1:20" s="43" customFormat="1" ht="22.5" customHeight="1">
      <c r="A102" s="52" t="s">
        <v>160</v>
      </c>
      <c r="B102" s="52"/>
      <c r="C102" s="49" t="s">
        <v>162</v>
      </c>
      <c r="D102" s="38">
        <f t="shared" ref="D102:O102" si="69">D7+D20+D24+D37+D48+D54+D64+D75+D89+D100</f>
        <v>906929693</v>
      </c>
      <c r="E102" s="34">
        <f t="shared" si="69"/>
        <v>0</v>
      </c>
      <c r="F102" s="38">
        <f t="shared" si="69"/>
        <v>651814747</v>
      </c>
      <c r="G102" s="38">
        <f t="shared" si="69"/>
        <v>255114946</v>
      </c>
      <c r="H102" s="76" t="e">
        <f t="shared" si="69"/>
        <v>#REF!</v>
      </c>
      <c r="I102" s="76" t="e">
        <f t="shared" si="69"/>
        <v>#REF!</v>
      </c>
      <c r="J102" s="77" t="e">
        <f t="shared" si="69"/>
        <v>#REF!</v>
      </c>
      <c r="K102" s="77" t="e">
        <f t="shared" si="69"/>
        <v>#REF!</v>
      </c>
      <c r="L102" s="77" t="e">
        <f t="shared" si="69"/>
        <v>#REF!</v>
      </c>
      <c r="M102" s="77" t="e">
        <f t="shared" si="69"/>
        <v>#REF!</v>
      </c>
      <c r="N102" s="76" t="e">
        <f t="shared" si="69"/>
        <v>#REF!</v>
      </c>
      <c r="O102" s="77" t="e">
        <f t="shared" si="69"/>
        <v>#REF!</v>
      </c>
      <c r="P102" s="54"/>
      <c r="Q102" s="53">
        <f>(Q7+Q20+Q24+Q37+Q48+Q54+Q64+Q75+Q89+Q100)</f>
        <v>852513911</v>
      </c>
      <c r="R102" s="53">
        <f>(R7+R20+R24+R37+R48+R54+R64+R75+R89+R100)</f>
        <v>54415782</v>
      </c>
      <c r="S102" s="39">
        <f>(R102/D102)</f>
        <v>6.0000000463100944E-2</v>
      </c>
      <c r="T102" s="47">
        <v>0</v>
      </c>
    </row>
    <row r="103" spans="1:20">
      <c r="E103"/>
      <c r="F103" s="44"/>
      <c r="G103"/>
    </row>
    <row r="104" spans="1:20">
      <c r="E104"/>
      <c r="G104"/>
      <c r="J104" s="46"/>
    </row>
  </sheetData>
  <mergeCells count="10">
    <mergeCell ref="O2:O3"/>
    <mergeCell ref="P2:P3"/>
    <mergeCell ref="S2:S3"/>
    <mergeCell ref="T2:T3"/>
    <mergeCell ref="A2:A5"/>
    <mergeCell ref="B2:B5"/>
    <mergeCell ref="C2:C5"/>
    <mergeCell ref="D2:G2"/>
    <mergeCell ref="I2:M2"/>
    <mergeCell ref="N2:N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C8C27-09DE-415B-B4E3-7195C2AF5A5A}">
  <dimension ref="A1:Z35"/>
  <sheetViews>
    <sheetView workbookViewId="0">
      <selection activeCell="H23" sqref="H23"/>
    </sheetView>
  </sheetViews>
  <sheetFormatPr defaultRowHeight="14.25"/>
  <cols>
    <col min="1" max="18" width="9" style="26"/>
  </cols>
  <sheetData>
    <row r="1" spans="1:26" ht="15.75">
      <c r="A1" s="102" t="s">
        <v>273</v>
      </c>
      <c r="S1" s="26"/>
      <c r="T1" s="26"/>
      <c r="U1" s="26"/>
      <c r="V1" s="26"/>
      <c r="W1" s="26"/>
      <c r="X1" s="26"/>
      <c r="Y1" s="26"/>
      <c r="Z1" s="26"/>
    </row>
    <row r="2" spans="1:26" ht="15.75">
      <c r="A2" s="103" t="s">
        <v>278</v>
      </c>
      <c r="S2" s="26"/>
      <c r="T2" s="26"/>
      <c r="U2" s="26"/>
      <c r="V2" s="26"/>
      <c r="W2" s="26"/>
      <c r="X2" s="26"/>
      <c r="Y2" s="26"/>
      <c r="Z2" s="26"/>
    </row>
    <row r="3" spans="1:26" ht="15.75">
      <c r="A3" s="103" t="s">
        <v>279</v>
      </c>
      <c r="S3" s="26"/>
      <c r="T3" s="26"/>
      <c r="U3" s="26"/>
      <c r="V3" s="26"/>
      <c r="W3" s="26"/>
      <c r="X3" s="26"/>
      <c r="Y3" s="26"/>
      <c r="Z3" s="26"/>
    </row>
    <row r="4" spans="1:26" ht="15.75">
      <c r="A4" s="103"/>
      <c r="S4" s="26"/>
      <c r="T4" s="26"/>
      <c r="U4" s="26"/>
      <c r="V4" s="26"/>
      <c r="W4" s="26"/>
      <c r="X4" s="26"/>
      <c r="Y4" s="26"/>
      <c r="Z4" s="26"/>
    </row>
    <row r="5" spans="1:26" ht="15.75">
      <c r="A5" s="102" t="s">
        <v>271</v>
      </c>
      <c r="S5" s="26"/>
      <c r="T5" s="26"/>
      <c r="U5" s="26"/>
      <c r="V5" s="26"/>
      <c r="W5" s="26"/>
      <c r="X5" s="26"/>
      <c r="Y5" s="26"/>
      <c r="Z5" s="26"/>
    </row>
    <row r="6" spans="1:26" ht="15.75">
      <c r="A6" s="103" t="s">
        <v>274</v>
      </c>
      <c r="S6" s="26"/>
      <c r="T6" s="26"/>
      <c r="U6" s="26"/>
      <c r="V6" s="26"/>
      <c r="W6" s="26"/>
      <c r="X6" s="26"/>
      <c r="Y6" s="26"/>
      <c r="Z6" s="26"/>
    </row>
    <row r="7" spans="1:26" ht="15.75">
      <c r="A7" s="103" t="s">
        <v>275</v>
      </c>
      <c r="S7" s="26"/>
      <c r="T7" s="26"/>
      <c r="U7" s="26"/>
      <c r="V7" s="26"/>
      <c r="W7" s="26"/>
      <c r="X7" s="26"/>
      <c r="Y7" s="26"/>
      <c r="Z7" s="26"/>
    </row>
    <row r="8" spans="1:26" ht="15.75">
      <c r="A8" s="103" t="s">
        <v>281</v>
      </c>
      <c r="S8" s="26"/>
      <c r="T8" s="26"/>
      <c r="U8" s="26"/>
      <c r="V8" s="26"/>
      <c r="W8" s="26"/>
      <c r="X8" s="26"/>
      <c r="Y8" s="26"/>
      <c r="Z8" s="26"/>
    </row>
    <row r="9" spans="1:26" ht="15.75">
      <c r="A9" s="103" t="s">
        <v>276</v>
      </c>
      <c r="S9" s="26"/>
      <c r="T9" s="26"/>
      <c r="U9" s="26"/>
      <c r="V9" s="26"/>
      <c r="W9" s="26"/>
      <c r="X9" s="26"/>
      <c r="Y9" s="26"/>
      <c r="Z9" s="26"/>
    </row>
    <row r="10" spans="1:26" ht="15.75">
      <c r="A10" s="103" t="s">
        <v>277</v>
      </c>
      <c r="S10" s="26"/>
      <c r="T10" s="26"/>
      <c r="U10" s="26"/>
      <c r="V10" s="26"/>
      <c r="W10" s="26"/>
      <c r="X10" s="26"/>
      <c r="Y10" s="26"/>
      <c r="Z10" s="26"/>
    </row>
    <row r="11" spans="1:26" ht="15.75">
      <c r="A11" s="103" t="s">
        <v>282</v>
      </c>
      <c r="S11" s="26"/>
      <c r="T11" s="26"/>
      <c r="U11" s="26"/>
      <c r="V11" s="26"/>
      <c r="W11" s="26"/>
      <c r="X11" s="26"/>
      <c r="Y11" s="26"/>
      <c r="Z11" s="26"/>
    </row>
    <row r="12" spans="1:26" ht="15.75">
      <c r="A12" s="103"/>
      <c r="S12" s="26"/>
      <c r="T12" s="26"/>
      <c r="U12" s="26"/>
      <c r="V12" s="26"/>
      <c r="W12" s="26"/>
      <c r="X12" s="26"/>
      <c r="Y12" s="26"/>
      <c r="Z12" s="26"/>
    </row>
    <row r="13" spans="1:26" ht="15.75">
      <c r="A13" s="102" t="s">
        <v>283</v>
      </c>
      <c r="S13" s="26"/>
      <c r="T13" s="26"/>
      <c r="U13" s="26"/>
      <c r="V13" s="26"/>
      <c r="W13" s="26"/>
      <c r="X13" s="26"/>
      <c r="Y13" s="26"/>
      <c r="Z13" s="26"/>
    </row>
    <row r="14" spans="1:26" ht="15.75">
      <c r="A14" s="103" t="s">
        <v>272</v>
      </c>
      <c r="S14" s="26"/>
      <c r="T14" s="26"/>
      <c r="U14" s="26"/>
      <c r="V14" s="26"/>
      <c r="W14" s="26"/>
      <c r="X14" s="26"/>
      <c r="Y14" s="26"/>
      <c r="Z14" s="26"/>
    </row>
    <row r="15" spans="1:26" ht="15.75">
      <c r="A15" s="103"/>
      <c r="S15" s="26"/>
      <c r="T15" s="26"/>
      <c r="U15" s="26"/>
      <c r="V15" s="26"/>
      <c r="W15" s="26"/>
      <c r="X15" s="26"/>
      <c r="Y15" s="26"/>
      <c r="Z15" s="26"/>
    </row>
    <row r="16" spans="1:26" ht="15.75">
      <c r="A16" s="103" t="s">
        <v>284</v>
      </c>
      <c r="S16" s="26"/>
      <c r="T16" s="26"/>
      <c r="U16" s="26"/>
      <c r="V16" s="26"/>
      <c r="W16" s="26"/>
      <c r="X16" s="26"/>
      <c r="Y16" s="26"/>
      <c r="Z16" s="26"/>
    </row>
    <row r="17" spans="1:26" ht="15.75">
      <c r="A17" s="103"/>
      <c r="S17" s="26"/>
      <c r="T17" s="26"/>
      <c r="U17" s="26"/>
      <c r="V17" s="26"/>
      <c r="W17" s="26"/>
      <c r="X17" s="26"/>
      <c r="Y17" s="26"/>
      <c r="Z17" s="26"/>
    </row>
    <row r="18" spans="1:26">
      <c r="S18" s="26"/>
      <c r="T18" s="26"/>
      <c r="U18" s="26"/>
      <c r="V18" s="26"/>
      <c r="W18" s="26"/>
      <c r="X18" s="26"/>
      <c r="Y18" s="26"/>
      <c r="Z18" s="26"/>
    </row>
    <row r="19" spans="1:26">
      <c r="A19" s="104" t="s">
        <v>280</v>
      </c>
      <c r="S19" s="26"/>
      <c r="T19" s="26"/>
      <c r="U19" s="26"/>
      <c r="V19" s="26"/>
      <c r="W19" s="26"/>
      <c r="X19" s="26"/>
      <c r="Y19" s="26"/>
      <c r="Z19" s="26"/>
    </row>
    <row r="20" spans="1:26" ht="15.75">
      <c r="A20" s="103"/>
      <c r="S20" s="26"/>
      <c r="T20" s="26"/>
      <c r="U20" s="26"/>
      <c r="V20" s="26"/>
      <c r="W20" s="26"/>
      <c r="X20" s="26"/>
      <c r="Y20" s="26"/>
      <c r="Z20" s="26"/>
    </row>
    <row r="21" spans="1:26" ht="15.75">
      <c r="A21" s="103"/>
      <c r="S21" s="26"/>
      <c r="T21" s="26"/>
      <c r="U21" s="26"/>
      <c r="V21" s="26"/>
      <c r="W21" s="26"/>
      <c r="X21" s="26"/>
      <c r="Y21" s="26"/>
      <c r="Z21" s="26"/>
    </row>
    <row r="22" spans="1:26" ht="15.75">
      <c r="A22" s="103"/>
      <c r="S22" s="26"/>
      <c r="T22" s="26"/>
      <c r="U22" s="26"/>
      <c r="V22" s="26"/>
      <c r="W22" s="26"/>
      <c r="X22" s="26"/>
      <c r="Y22" s="26"/>
      <c r="Z22" s="26"/>
    </row>
    <row r="23" spans="1:26">
      <c r="S23" s="26"/>
      <c r="T23" s="26"/>
      <c r="U23" s="26"/>
      <c r="V23" s="26"/>
      <c r="W23" s="26"/>
      <c r="X23" s="26"/>
      <c r="Y23" s="26"/>
      <c r="Z23" s="26"/>
    </row>
    <row r="24" spans="1:26" ht="15.75">
      <c r="A24" s="103"/>
      <c r="S24" s="26"/>
      <c r="T24" s="26"/>
      <c r="U24" s="26"/>
      <c r="V24" s="26"/>
      <c r="W24" s="26"/>
      <c r="X24" s="26"/>
      <c r="Y24" s="26"/>
      <c r="Z24" s="26"/>
    </row>
    <row r="25" spans="1:26">
      <c r="S25" s="26"/>
      <c r="T25" s="26"/>
      <c r="U25" s="26"/>
      <c r="V25" s="26"/>
      <c r="W25" s="26"/>
      <c r="X25" s="26"/>
      <c r="Y25" s="26"/>
      <c r="Z25" s="26"/>
    </row>
    <row r="26" spans="1:26">
      <c r="S26" s="26"/>
      <c r="T26" s="26"/>
      <c r="U26" s="26"/>
      <c r="V26" s="26"/>
      <c r="W26" s="26"/>
      <c r="X26" s="26"/>
      <c r="Y26" s="26"/>
      <c r="Z26" s="26"/>
    </row>
    <row r="27" spans="1:26">
      <c r="S27" s="26"/>
      <c r="T27" s="26"/>
      <c r="U27" s="26"/>
      <c r="V27" s="26"/>
      <c r="W27" s="26"/>
      <c r="X27" s="26"/>
      <c r="Y27" s="26"/>
      <c r="Z27" s="26"/>
    </row>
    <row r="28" spans="1:26">
      <c r="S28" s="26"/>
      <c r="T28" s="26"/>
      <c r="U28" s="26"/>
      <c r="V28" s="26"/>
      <c r="W28" s="26"/>
      <c r="X28" s="26"/>
      <c r="Y28" s="26"/>
      <c r="Z28" s="26"/>
    </row>
    <row r="29" spans="1:26">
      <c r="S29" s="26"/>
      <c r="T29" s="26"/>
      <c r="U29" s="26"/>
      <c r="V29" s="26"/>
      <c r="W29" s="26"/>
      <c r="X29" s="26"/>
      <c r="Y29" s="26"/>
      <c r="Z29" s="26"/>
    </row>
    <row r="30" spans="1:26">
      <c r="S30" s="26"/>
      <c r="T30" s="26"/>
      <c r="U30" s="26"/>
      <c r="V30" s="26"/>
      <c r="W30" s="26"/>
      <c r="X30" s="26"/>
      <c r="Y30" s="26"/>
      <c r="Z30" s="26"/>
    </row>
    <row r="31" spans="1:26">
      <c r="S31" s="26"/>
      <c r="T31" s="26"/>
      <c r="U31" s="26"/>
      <c r="V31" s="26"/>
      <c r="W31" s="26"/>
      <c r="X31" s="26"/>
      <c r="Y31" s="26"/>
      <c r="Z31" s="26"/>
    </row>
    <row r="32" spans="1:26">
      <c r="S32" s="26"/>
      <c r="T32" s="26"/>
      <c r="U32" s="26"/>
      <c r="V32" s="26"/>
      <c r="W32" s="26"/>
      <c r="X32" s="26"/>
      <c r="Y32" s="26"/>
      <c r="Z32" s="26"/>
    </row>
    <row r="33" spans="19:26">
      <c r="S33" s="26"/>
      <c r="T33" s="26"/>
      <c r="U33" s="26"/>
      <c r="V33" s="26"/>
      <c r="W33" s="26"/>
      <c r="X33" s="26"/>
      <c r="Y33" s="26"/>
      <c r="Z33" s="26"/>
    </row>
    <row r="34" spans="19:26">
      <c r="S34" s="26"/>
      <c r="T34" s="26"/>
      <c r="U34" s="26"/>
      <c r="V34" s="26"/>
      <c r="W34" s="26"/>
      <c r="X34" s="26"/>
      <c r="Y34" s="26"/>
      <c r="Z34" s="26"/>
    </row>
    <row r="35" spans="19:26">
      <c r="S35" s="26"/>
      <c r="T35" s="26"/>
      <c r="U35" s="26"/>
      <c r="V35" s="26"/>
      <c r="W35" s="26"/>
      <c r="X35" s="26"/>
      <c r="Y35" s="26"/>
      <c r="Z35" s="2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AB10E-5852-4E77-ACBE-41F28B4C101D}">
  <sheetPr>
    <pageSetUpPr fitToPage="1"/>
  </sheetPr>
  <dimension ref="A2:Q75"/>
  <sheetViews>
    <sheetView tabSelected="1" view="pageBreakPreview" zoomScale="106" zoomScaleNormal="100" zoomScaleSheetLayoutView="106" workbookViewId="0">
      <selection activeCell="G20" sqref="G20"/>
    </sheetView>
  </sheetViews>
  <sheetFormatPr defaultRowHeight="14.25"/>
  <cols>
    <col min="1" max="2" width="9" style="96"/>
    <col min="3" max="3" width="10.25" style="96" customWidth="1"/>
    <col min="4" max="4" width="12.5" style="96" customWidth="1"/>
    <col min="5" max="5" width="9" style="96"/>
    <col min="6" max="6" width="13.125" style="96" customWidth="1"/>
    <col min="7" max="7" width="12.625" style="96" customWidth="1"/>
    <col min="8" max="8" width="13.375" style="96" customWidth="1"/>
    <col min="9" max="9" width="12.5" style="96" customWidth="1"/>
    <col min="10" max="10" width="13.25" style="96" customWidth="1"/>
    <col min="11" max="11" width="14.25" style="96" customWidth="1"/>
    <col min="12" max="12" width="12.25" style="96" customWidth="1"/>
    <col min="13" max="13" width="12" style="96" customWidth="1"/>
    <col min="14" max="14" width="12.375" style="96" customWidth="1"/>
    <col min="15" max="15" width="14.25" style="96" customWidth="1"/>
    <col min="16" max="16" width="9" style="96"/>
    <col min="17" max="17" width="14.25" style="96" customWidth="1"/>
    <col min="18" max="16384" width="9" style="96"/>
  </cols>
  <sheetData>
    <row r="2" spans="1:17">
      <c r="A2" s="174" t="s">
        <v>470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94"/>
    </row>
    <row r="3" spans="1:17">
      <c r="A3" s="162"/>
      <c r="B3" s="165" t="s">
        <v>174</v>
      </c>
      <c r="C3" s="159" t="s">
        <v>1</v>
      </c>
      <c r="D3" s="168" t="s">
        <v>2</v>
      </c>
      <c r="E3" s="168"/>
      <c r="F3" s="168"/>
      <c r="G3" s="168"/>
      <c r="H3" s="8"/>
      <c r="I3" s="4" t="s">
        <v>3</v>
      </c>
      <c r="J3" s="176" t="s">
        <v>4</v>
      </c>
      <c r="K3" s="176"/>
      <c r="L3" s="176"/>
      <c r="M3" s="176"/>
      <c r="N3" s="177" t="s">
        <v>5</v>
      </c>
      <c r="O3" s="159" t="s">
        <v>6</v>
      </c>
      <c r="P3" s="159" t="s">
        <v>11</v>
      </c>
      <c r="Q3" s="168" t="s">
        <v>270</v>
      </c>
    </row>
    <row r="4" spans="1:17" ht="23.25">
      <c r="A4" s="163"/>
      <c r="B4" s="166"/>
      <c r="C4" s="159"/>
      <c r="D4" s="6" t="s">
        <v>12</v>
      </c>
      <c r="E4" s="23" t="s">
        <v>13</v>
      </c>
      <c r="F4" s="23" t="s">
        <v>14</v>
      </c>
      <c r="G4" s="23" t="s">
        <v>175</v>
      </c>
      <c r="H4" s="22" t="s">
        <v>176</v>
      </c>
      <c r="I4" s="118" t="s">
        <v>12</v>
      </c>
      <c r="J4" s="22" t="s">
        <v>12</v>
      </c>
      <c r="K4" s="23" t="s">
        <v>16</v>
      </c>
      <c r="L4" s="23" t="s">
        <v>228</v>
      </c>
      <c r="M4" s="23" t="s">
        <v>19</v>
      </c>
      <c r="N4" s="177"/>
      <c r="O4" s="160"/>
      <c r="P4" s="160"/>
      <c r="Q4" s="173"/>
    </row>
    <row r="5" spans="1:17">
      <c r="A5" s="163"/>
      <c r="B5" s="166"/>
      <c r="C5" s="159"/>
      <c r="D5" s="13" t="s">
        <v>22</v>
      </c>
      <c r="E5" s="24" t="s">
        <v>23</v>
      </c>
      <c r="F5" s="24" t="s">
        <v>24</v>
      </c>
      <c r="G5" s="21" t="s">
        <v>25</v>
      </c>
      <c r="H5" s="21" t="s">
        <v>26</v>
      </c>
      <c r="I5" s="4" t="s">
        <v>27</v>
      </c>
      <c r="J5" s="4" t="s">
        <v>28</v>
      </c>
      <c r="K5" s="13" t="s">
        <v>29</v>
      </c>
      <c r="L5" s="13" t="s">
        <v>30</v>
      </c>
      <c r="M5" s="13" t="s">
        <v>31</v>
      </c>
      <c r="N5" s="119" t="s">
        <v>32</v>
      </c>
      <c r="O5" s="13" t="s">
        <v>33</v>
      </c>
      <c r="P5" s="13" t="s">
        <v>34</v>
      </c>
      <c r="Q5" s="13" t="s">
        <v>35</v>
      </c>
    </row>
    <row r="6" spans="1:17">
      <c r="A6" s="164"/>
      <c r="B6" s="167"/>
      <c r="C6" s="159"/>
      <c r="D6" s="14" t="s">
        <v>225</v>
      </c>
      <c r="E6" s="24"/>
      <c r="F6" s="24"/>
      <c r="G6" s="21"/>
      <c r="H6" s="21"/>
      <c r="I6" s="9" t="s">
        <v>226</v>
      </c>
      <c r="J6" s="9" t="s">
        <v>251</v>
      </c>
      <c r="K6" s="13"/>
      <c r="L6" s="13"/>
      <c r="M6" s="13"/>
      <c r="N6" s="119"/>
      <c r="O6" s="14" t="s">
        <v>227</v>
      </c>
      <c r="P6" s="14"/>
      <c r="Q6" s="13"/>
    </row>
    <row r="7" spans="1:17">
      <c r="A7" s="12"/>
      <c r="B7" s="8"/>
      <c r="C7" s="6"/>
      <c r="D7" s="7"/>
      <c r="E7" s="25"/>
      <c r="F7" s="25"/>
      <c r="G7" s="21"/>
      <c r="H7" s="21"/>
      <c r="I7" s="9"/>
      <c r="J7" s="9"/>
      <c r="K7" s="8"/>
      <c r="L7" s="8"/>
      <c r="M7" s="8"/>
      <c r="N7" s="4"/>
      <c r="O7" s="7"/>
      <c r="P7" s="7"/>
      <c r="Q7" s="14"/>
    </row>
    <row r="8" spans="1:17">
      <c r="A8" s="107" t="s">
        <v>285</v>
      </c>
      <c r="B8" s="107"/>
      <c r="C8" s="107"/>
      <c r="D8" s="107">
        <f>SUM(E8:H8)</f>
        <v>151765850</v>
      </c>
      <c r="E8" s="107">
        <f>SUM(E9:E13)</f>
        <v>0</v>
      </c>
      <c r="F8" s="107">
        <f t="shared" ref="F8:H8" si="0">SUM(F9:F13)</f>
        <v>151765850</v>
      </c>
      <c r="G8" s="107">
        <f t="shared" si="0"/>
        <v>0</v>
      </c>
      <c r="H8" s="107">
        <f t="shared" si="0"/>
        <v>0</v>
      </c>
      <c r="I8" s="107">
        <f>SUM(J8,N8)</f>
        <v>65042508</v>
      </c>
      <c r="J8" s="107">
        <f>SUM(K8,L8,M8)</f>
        <v>15588907</v>
      </c>
      <c r="K8" s="107">
        <f t="shared" ref="K8:N8" si="1">SUM(K9:K13)</f>
        <v>0</v>
      </c>
      <c r="L8" s="107">
        <f t="shared" si="1"/>
        <v>15588907</v>
      </c>
      <c r="M8" s="107">
        <f t="shared" si="1"/>
        <v>0</v>
      </c>
      <c r="N8" s="107">
        <f t="shared" si="1"/>
        <v>49453601</v>
      </c>
      <c r="O8" s="107">
        <f>SUM(D8,I8)</f>
        <v>216808358</v>
      </c>
      <c r="P8" s="107"/>
      <c r="Q8" s="113">
        <f t="shared" ref="Q8" si="2">SUM(Q9:Q13)</f>
        <v>0</v>
      </c>
    </row>
    <row r="9" spans="1:17">
      <c r="A9" s="4" t="s">
        <v>286</v>
      </c>
      <c r="B9" s="4" t="s">
        <v>287</v>
      </c>
      <c r="C9" s="170" t="s">
        <v>288</v>
      </c>
      <c r="D9" s="107">
        <f t="shared" ref="D9:D70" si="3">SUM(E9:H9)</f>
        <v>11295955</v>
      </c>
      <c r="E9" s="4">
        <v>0</v>
      </c>
      <c r="F9" s="21">
        <v>11295955</v>
      </c>
      <c r="G9" s="4">
        <v>0</v>
      </c>
      <c r="H9" s="4">
        <v>0</v>
      </c>
      <c r="I9" s="107">
        <f t="shared" ref="I9:I70" si="4">SUM(J9,N9)</f>
        <v>4841123</v>
      </c>
      <c r="J9" s="107">
        <f t="shared" ref="J9:J70" si="5">SUM(K9,L9,M9)</f>
        <v>4841123</v>
      </c>
      <c r="K9" s="4">
        <v>0</v>
      </c>
      <c r="L9" s="4">
        <v>4841123</v>
      </c>
      <c r="M9" s="4">
        <v>0</v>
      </c>
      <c r="N9" s="4">
        <v>0</v>
      </c>
      <c r="O9" s="107">
        <f t="shared" ref="O9:O70" si="6">SUM(D9,I9)</f>
        <v>16137078</v>
      </c>
      <c r="P9" s="4"/>
      <c r="Q9" s="9">
        <v>0</v>
      </c>
    </row>
    <row r="10" spans="1:17">
      <c r="A10" s="4" t="s">
        <v>289</v>
      </c>
      <c r="B10" s="4" t="s">
        <v>287</v>
      </c>
      <c r="C10" s="171"/>
      <c r="D10" s="107">
        <f t="shared" si="3"/>
        <v>45382247</v>
      </c>
      <c r="E10" s="4">
        <v>0</v>
      </c>
      <c r="F10" s="21">
        <v>45382247</v>
      </c>
      <c r="G10" s="4">
        <v>0</v>
      </c>
      <c r="H10" s="4">
        <v>0</v>
      </c>
      <c r="I10" s="107">
        <f t="shared" si="4"/>
        <v>19449534</v>
      </c>
      <c r="J10" s="107">
        <f t="shared" si="5"/>
        <v>0</v>
      </c>
      <c r="K10" s="4">
        <v>0</v>
      </c>
      <c r="L10" s="4">
        <v>0</v>
      </c>
      <c r="M10" s="4">
        <v>0</v>
      </c>
      <c r="N10" s="4">
        <v>19449534</v>
      </c>
      <c r="O10" s="107">
        <f t="shared" si="6"/>
        <v>64831781</v>
      </c>
      <c r="P10" s="4"/>
      <c r="Q10" s="9">
        <v>0</v>
      </c>
    </row>
    <row r="11" spans="1:17">
      <c r="A11" s="4" t="s">
        <v>290</v>
      </c>
      <c r="B11" s="4" t="s">
        <v>291</v>
      </c>
      <c r="C11" s="171"/>
      <c r="D11" s="107">
        <f t="shared" si="3"/>
        <v>25078162</v>
      </c>
      <c r="E11" s="4">
        <v>0</v>
      </c>
      <c r="F11" s="21">
        <v>25078162</v>
      </c>
      <c r="G11" s="4">
        <v>0</v>
      </c>
      <c r="H11" s="4">
        <v>0</v>
      </c>
      <c r="I11" s="107">
        <f t="shared" si="4"/>
        <v>10747784</v>
      </c>
      <c r="J11" s="107">
        <f t="shared" si="5"/>
        <v>10747784</v>
      </c>
      <c r="K11" s="4">
        <v>0</v>
      </c>
      <c r="L11" s="4">
        <v>10747784</v>
      </c>
      <c r="M11" s="4">
        <v>0</v>
      </c>
      <c r="N11" s="4">
        <v>0</v>
      </c>
      <c r="O11" s="107">
        <f t="shared" si="6"/>
        <v>35825946</v>
      </c>
      <c r="P11" s="4"/>
      <c r="Q11" s="9">
        <v>0</v>
      </c>
    </row>
    <row r="12" spans="1:17">
      <c r="A12" s="4" t="s">
        <v>292</v>
      </c>
      <c r="B12" s="4" t="s">
        <v>293</v>
      </c>
      <c r="C12" s="171"/>
      <c r="D12" s="107">
        <f t="shared" si="3"/>
        <v>24174486</v>
      </c>
      <c r="E12" s="4">
        <v>0</v>
      </c>
      <c r="F12" s="21">
        <v>24174486</v>
      </c>
      <c r="G12" s="4">
        <v>0</v>
      </c>
      <c r="H12" s="4">
        <v>0</v>
      </c>
      <c r="I12" s="107">
        <f t="shared" si="4"/>
        <v>10360496</v>
      </c>
      <c r="J12" s="107">
        <f t="shared" si="5"/>
        <v>0</v>
      </c>
      <c r="K12" s="4">
        <v>0</v>
      </c>
      <c r="L12" s="4">
        <v>0</v>
      </c>
      <c r="M12" s="4">
        <v>0</v>
      </c>
      <c r="N12" s="4">
        <v>10360496</v>
      </c>
      <c r="O12" s="107">
        <f t="shared" si="6"/>
        <v>34534982</v>
      </c>
      <c r="P12" s="4"/>
      <c r="Q12" s="9">
        <v>0</v>
      </c>
    </row>
    <row r="13" spans="1:17">
      <c r="A13" s="4" t="s">
        <v>294</v>
      </c>
      <c r="B13" s="4" t="s">
        <v>295</v>
      </c>
      <c r="C13" s="172"/>
      <c r="D13" s="107">
        <f t="shared" si="3"/>
        <v>45835000</v>
      </c>
      <c r="E13" s="4">
        <v>0</v>
      </c>
      <c r="F13" s="21">
        <v>45835000</v>
      </c>
      <c r="G13" s="4">
        <v>0</v>
      </c>
      <c r="H13" s="4">
        <v>0</v>
      </c>
      <c r="I13" s="107">
        <f t="shared" si="4"/>
        <v>19643571</v>
      </c>
      <c r="J13" s="107">
        <f t="shared" si="5"/>
        <v>0</v>
      </c>
      <c r="K13" s="4">
        <v>0</v>
      </c>
      <c r="L13" s="4">
        <v>0</v>
      </c>
      <c r="M13" s="4">
        <v>0</v>
      </c>
      <c r="N13" s="4">
        <v>19643571</v>
      </c>
      <c r="O13" s="107">
        <f t="shared" si="6"/>
        <v>65478571</v>
      </c>
      <c r="P13" s="4"/>
      <c r="Q13" s="9">
        <v>0</v>
      </c>
    </row>
    <row r="14" spans="1:17">
      <c r="A14" s="107" t="s">
        <v>296</v>
      </c>
      <c r="B14" s="107"/>
      <c r="C14" s="107"/>
      <c r="D14" s="107">
        <f t="shared" si="3"/>
        <v>356941748</v>
      </c>
      <c r="E14" s="107">
        <f>SUM(E15:E25)</f>
        <v>0</v>
      </c>
      <c r="F14" s="107">
        <f>SUM(F15:F25)</f>
        <v>356941748</v>
      </c>
      <c r="G14" s="107">
        <f>SUM(G15:G25)</f>
        <v>0</v>
      </c>
      <c r="H14" s="107">
        <f>SUM(H15:H25)</f>
        <v>0</v>
      </c>
      <c r="I14" s="107">
        <f t="shared" si="4"/>
        <v>152975035</v>
      </c>
      <c r="J14" s="107">
        <f t="shared" si="5"/>
        <v>97491905</v>
      </c>
      <c r="K14" s="107">
        <f>SUM(K15:K25)</f>
        <v>17873020</v>
      </c>
      <c r="L14" s="107">
        <f>SUM(L15:L25)</f>
        <v>79618885</v>
      </c>
      <c r="M14" s="107">
        <f>SUM(M15:M25)</f>
        <v>0</v>
      </c>
      <c r="N14" s="107">
        <f>SUM(N15:N25)</f>
        <v>55483130</v>
      </c>
      <c r="O14" s="107">
        <f t="shared" si="6"/>
        <v>509916783</v>
      </c>
      <c r="P14" s="107"/>
      <c r="Q14" s="111">
        <f>SUM(Q15:Q25)</f>
        <v>17873020</v>
      </c>
    </row>
    <row r="15" spans="1:17" s="50" customFormat="1">
      <c r="A15" s="4" t="s">
        <v>297</v>
      </c>
      <c r="B15" s="4" t="s">
        <v>298</v>
      </c>
      <c r="C15" s="170" t="s">
        <v>288</v>
      </c>
      <c r="D15" s="107">
        <f t="shared" si="3"/>
        <v>52483270</v>
      </c>
      <c r="E15" s="4">
        <v>0</v>
      </c>
      <c r="F15" s="21">
        <v>52483270</v>
      </c>
      <c r="G15" s="4">
        <v>0</v>
      </c>
      <c r="H15" s="4">
        <v>0</v>
      </c>
      <c r="I15" s="107">
        <f t="shared" si="4"/>
        <v>22492829</v>
      </c>
      <c r="J15" s="107">
        <f t="shared" si="5"/>
        <v>22492829</v>
      </c>
      <c r="K15" s="4">
        <v>3400403</v>
      </c>
      <c r="L15" s="4">
        <v>19092426</v>
      </c>
      <c r="M15" s="4">
        <v>0</v>
      </c>
      <c r="N15" s="4">
        <v>0</v>
      </c>
      <c r="O15" s="107">
        <f t="shared" si="6"/>
        <v>74976099</v>
      </c>
      <c r="P15" s="4"/>
      <c r="Q15" s="9">
        <f>2602665+797738</f>
        <v>3400403</v>
      </c>
    </row>
    <row r="16" spans="1:17">
      <c r="A16" s="4" t="s">
        <v>299</v>
      </c>
      <c r="B16" s="4" t="s">
        <v>298</v>
      </c>
      <c r="C16" s="171"/>
      <c r="D16" s="107">
        <f t="shared" si="3"/>
        <v>23685496</v>
      </c>
      <c r="E16" s="4">
        <v>0</v>
      </c>
      <c r="F16" s="21">
        <v>23685496</v>
      </c>
      <c r="G16" s="4">
        <v>0</v>
      </c>
      <c r="H16" s="4">
        <v>0</v>
      </c>
      <c r="I16" s="107">
        <f t="shared" si="4"/>
        <v>10150927</v>
      </c>
      <c r="J16" s="107">
        <f t="shared" si="5"/>
        <v>3383642</v>
      </c>
      <c r="K16" s="4">
        <v>0</v>
      </c>
      <c r="L16" s="4">
        <v>3383642</v>
      </c>
      <c r="M16" s="4">
        <v>0</v>
      </c>
      <c r="N16" s="4">
        <v>6767285</v>
      </c>
      <c r="O16" s="107">
        <f t="shared" si="6"/>
        <v>33836423</v>
      </c>
      <c r="P16" s="4"/>
      <c r="Q16" s="9">
        <v>0</v>
      </c>
    </row>
    <row r="17" spans="1:17">
      <c r="A17" s="4" t="s">
        <v>300</v>
      </c>
      <c r="B17" s="4" t="s">
        <v>298</v>
      </c>
      <c r="C17" s="171"/>
      <c r="D17" s="107">
        <f t="shared" si="3"/>
        <v>79695094</v>
      </c>
      <c r="E17" s="4">
        <v>0</v>
      </c>
      <c r="F17" s="21">
        <v>79695094</v>
      </c>
      <c r="G17" s="4">
        <v>0</v>
      </c>
      <c r="H17" s="4">
        <v>0</v>
      </c>
      <c r="I17" s="107">
        <f t="shared" si="4"/>
        <v>34155040</v>
      </c>
      <c r="J17" s="107">
        <f t="shared" si="5"/>
        <v>0</v>
      </c>
      <c r="K17" s="4">
        <v>0</v>
      </c>
      <c r="L17" s="4">
        <v>0</v>
      </c>
      <c r="M17" s="4">
        <v>0</v>
      </c>
      <c r="N17" s="4">
        <v>34155040</v>
      </c>
      <c r="O17" s="107">
        <f t="shared" si="6"/>
        <v>113850134</v>
      </c>
      <c r="P17" s="4"/>
      <c r="Q17" s="9">
        <v>0</v>
      </c>
    </row>
    <row r="18" spans="1:17" s="50" customFormat="1">
      <c r="A18" s="4" t="s">
        <v>301</v>
      </c>
      <c r="B18" s="4" t="s">
        <v>302</v>
      </c>
      <c r="C18" s="171"/>
      <c r="D18" s="107">
        <f t="shared" si="3"/>
        <v>3311251</v>
      </c>
      <c r="E18" s="4">
        <v>0</v>
      </c>
      <c r="F18" s="21">
        <v>3311251</v>
      </c>
      <c r="G18" s="4">
        <v>0</v>
      </c>
      <c r="H18" s="4">
        <v>0</v>
      </c>
      <c r="I18" s="107">
        <f t="shared" si="4"/>
        <v>1419108</v>
      </c>
      <c r="J18" s="107">
        <f t="shared" si="5"/>
        <v>709554</v>
      </c>
      <c r="K18" s="4">
        <v>0</v>
      </c>
      <c r="L18" s="4">
        <v>709554</v>
      </c>
      <c r="M18" s="4">
        <v>0</v>
      </c>
      <c r="N18" s="4">
        <v>709554</v>
      </c>
      <c r="O18" s="107">
        <f t="shared" si="6"/>
        <v>4730359</v>
      </c>
      <c r="P18" s="4"/>
      <c r="Q18" s="9">
        <v>0</v>
      </c>
    </row>
    <row r="19" spans="1:17">
      <c r="A19" s="4" t="s">
        <v>303</v>
      </c>
      <c r="B19" s="4" t="s">
        <v>302</v>
      </c>
      <c r="C19" s="171"/>
      <c r="D19" s="107">
        <f t="shared" si="3"/>
        <v>32319585</v>
      </c>
      <c r="E19" s="4">
        <v>0</v>
      </c>
      <c r="F19" s="21">
        <v>32319585</v>
      </c>
      <c r="G19" s="4">
        <v>0</v>
      </c>
      <c r="H19" s="4">
        <v>0</v>
      </c>
      <c r="I19" s="107">
        <f t="shared" si="4"/>
        <v>13851251</v>
      </c>
      <c r="J19" s="107">
        <f t="shared" si="5"/>
        <v>0</v>
      </c>
      <c r="K19" s="4">
        <v>0</v>
      </c>
      <c r="L19" s="4">
        <v>0</v>
      </c>
      <c r="M19" s="4">
        <v>0</v>
      </c>
      <c r="N19" s="4">
        <v>13851251</v>
      </c>
      <c r="O19" s="107">
        <f t="shared" si="6"/>
        <v>46170836</v>
      </c>
      <c r="P19" s="4"/>
      <c r="Q19" s="9">
        <v>0</v>
      </c>
    </row>
    <row r="20" spans="1:17">
      <c r="A20" s="4" t="s">
        <v>304</v>
      </c>
      <c r="B20" s="4" t="s">
        <v>305</v>
      </c>
      <c r="C20" s="171"/>
      <c r="D20" s="107">
        <f t="shared" si="3"/>
        <v>72660695</v>
      </c>
      <c r="E20" s="4">
        <v>0</v>
      </c>
      <c r="F20" s="21">
        <v>72660695</v>
      </c>
      <c r="G20" s="4">
        <v>0</v>
      </c>
      <c r="H20" s="4">
        <v>0</v>
      </c>
      <c r="I20" s="107">
        <f t="shared" si="4"/>
        <v>31140298</v>
      </c>
      <c r="J20" s="107">
        <f t="shared" si="5"/>
        <v>31140298</v>
      </c>
      <c r="K20" s="4">
        <v>0</v>
      </c>
      <c r="L20" s="4">
        <v>31140298</v>
      </c>
      <c r="M20" s="4">
        <v>0</v>
      </c>
      <c r="N20" s="4">
        <v>0</v>
      </c>
      <c r="O20" s="107">
        <f t="shared" si="6"/>
        <v>103800993</v>
      </c>
      <c r="P20" s="4"/>
      <c r="Q20" s="9">
        <v>0</v>
      </c>
    </row>
    <row r="21" spans="1:17">
      <c r="A21" s="4" t="s">
        <v>306</v>
      </c>
      <c r="B21" s="4" t="s">
        <v>307</v>
      </c>
      <c r="C21" s="171"/>
      <c r="D21" s="107">
        <f t="shared" si="3"/>
        <v>24732703</v>
      </c>
      <c r="E21" s="4">
        <v>0</v>
      </c>
      <c r="F21" s="21">
        <v>24732703</v>
      </c>
      <c r="G21" s="4">
        <v>0</v>
      </c>
      <c r="H21" s="4">
        <v>0</v>
      </c>
      <c r="I21" s="107">
        <f t="shared" si="4"/>
        <v>10599730</v>
      </c>
      <c r="J21" s="107">
        <f t="shared" si="5"/>
        <v>10599730</v>
      </c>
      <c r="K21" s="21">
        <v>9755143</v>
      </c>
      <c r="L21" s="4">
        <v>844587</v>
      </c>
      <c r="M21" s="4">
        <v>0</v>
      </c>
      <c r="N21" s="4">
        <v>0</v>
      </c>
      <c r="O21" s="107">
        <f t="shared" si="6"/>
        <v>35332433</v>
      </c>
      <c r="P21" s="4"/>
      <c r="Q21" s="9">
        <v>9755143</v>
      </c>
    </row>
    <row r="22" spans="1:17">
      <c r="A22" s="4" t="s">
        <v>308</v>
      </c>
      <c r="B22" s="4" t="s">
        <v>298</v>
      </c>
      <c r="C22" s="171"/>
      <c r="D22" s="107">
        <v>15372818</v>
      </c>
      <c r="E22" s="4"/>
      <c r="F22" s="21">
        <v>15372818</v>
      </c>
      <c r="G22" s="4"/>
      <c r="H22" s="4"/>
      <c r="I22" s="107">
        <v>6588351</v>
      </c>
      <c r="J22" s="107">
        <v>6588351</v>
      </c>
      <c r="K22" s="4">
        <v>1057143</v>
      </c>
      <c r="L22" s="21">
        <v>5531208</v>
      </c>
      <c r="M22" s="4">
        <v>0</v>
      </c>
      <c r="N22" s="4">
        <v>0</v>
      </c>
      <c r="O22" s="107">
        <v>21961169</v>
      </c>
      <c r="P22" s="4"/>
      <c r="Q22" s="9">
        <v>1057143</v>
      </c>
    </row>
    <row r="23" spans="1:17">
      <c r="A23" s="4" t="s">
        <v>309</v>
      </c>
      <c r="B23" s="4" t="s">
        <v>305</v>
      </c>
      <c r="C23" s="171"/>
      <c r="D23" s="107">
        <f t="shared" si="3"/>
        <v>11288618</v>
      </c>
      <c r="E23" s="4">
        <v>0</v>
      </c>
      <c r="F23" s="21">
        <v>11288618</v>
      </c>
      <c r="G23" s="4">
        <v>0</v>
      </c>
      <c r="H23" s="4">
        <v>0</v>
      </c>
      <c r="I23" s="107">
        <f t="shared" si="4"/>
        <v>4837979</v>
      </c>
      <c r="J23" s="107">
        <f t="shared" si="5"/>
        <v>4837979</v>
      </c>
      <c r="K23" s="4">
        <v>0</v>
      </c>
      <c r="L23" s="4">
        <v>4837979</v>
      </c>
      <c r="M23" s="4">
        <v>0</v>
      </c>
      <c r="N23" s="4">
        <v>0</v>
      </c>
      <c r="O23" s="107">
        <f t="shared" si="6"/>
        <v>16126597</v>
      </c>
      <c r="P23" s="4"/>
      <c r="Q23" s="9">
        <v>0</v>
      </c>
    </row>
    <row r="24" spans="1:17" ht="22.5">
      <c r="A24" s="4" t="s">
        <v>310</v>
      </c>
      <c r="B24" s="4" t="s">
        <v>307</v>
      </c>
      <c r="C24" s="171"/>
      <c r="D24" s="107">
        <f t="shared" si="3"/>
        <v>31392218</v>
      </c>
      <c r="E24" s="4">
        <v>0</v>
      </c>
      <c r="F24" s="21">
        <v>31392218</v>
      </c>
      <c r="G24" s="4">
        <v>0</v>
      </c>
      <c r="H24" s="4">
        <v>0</v>
      </c>
      <c r="I24" s="107">
        <f t="shared" si="4"/>
        <v>13453808</v>
      </c>
      <c r="J24" s="107">
        <f t="shared" si="5"/>
        <v>13453808</v>
      </c>
      <c r="K24" s="4">
        <v>3110331</v>
      </c>
      <c r="L24" s="4">
        <v>10343477</v>
      </c>
      <c r="M24" s="4">
        <v>0</v>
      </c>
      <c r="N24" s="4">
        <v>0</v>
      </c>
      <c r="O24" s="107">
        <f t="shared" si="6"/>
        <v>44846026</v>
      </c>
      <c r="P24" s="4"/>
      <c r="Q24" s="9">
        <v>3110331</v>
      </c>
    </row>
    <row r="25" spans="1:17" ht="22.5">
      <c r="A25" s="4" t="s">
        <v>451</v>
      </c>
      <c r="B25" s="4" t="s">
        <v>452</v>
      </c>
      <c r="C25" s="172"/>
      <c r="D25" s="107">
        <f t="shared" ref="D25" si="7">SUM(E25:H25)</f>
        <v>10000000</v>
      </c>
      <c r="E25" s="4">
        <v>0</v>
      </c>
      <c r="F25" s="21">
        <v>10000000</v>
      </c>
      <c r="G25" s="4">
        <v>0</v>
      </c>
      <c r="H25" s="4">
        <v>0</v>
      </c>
      <c r="I25" s="107">
        <f t="shared" si="4"/>
        <v>4285714</v>
      </c>
      <c r="J25" s="107">
        <f t="shared" si="5"/>
        <v>4285714</v>
      </c>
      <c r="K25" s="4">
        <v>550000</v>
      </c>
      <c r="L25" s="4">
        <v>3735714</v>
      </c>
      <c r="M25" s="4">
        <v>0</v>
      </c>
      <c r="N25" s="4">
        <v>0</v>
      </c>
      <c r="O25" s="107">
        <f t="shared" si="6"/>
        <v>14285714</v>
      </c>
      <c r="P25" s="4"/>
      <c r="Q25" s="9">
        <v>550000</v>
      </c>
    </row>
    <row r="26" spans="1:17">
      <c r="A26" s="107" t="s">
        <v>311</v>
      </c>
      <c r="B26" s="107"/>
      <c r="C26" s="107"/>
      <c r="D26" s="107">
        <f t="shared" si="3"/>
        <v>68964945</v>
      </c>
      <c r="E26" s="107">
        <f>SUM(E27,E28)</f>
        <v>0</v>
      </c>
      <c r="F26" s="107">
        <f t="shared" ref="F26:H26" si="8">SUM(F27,F28)</f>
        <v>68964945</v>
      </c>
      <c r="G26" s="107">
        <f t="shared" si="8"/>
        <v>0</v>
      </c>
      <c r="H26" s="107">
        <f t="shared" si="8"/>
        <v>0</v>
      </c>
      <c r="I26" s="107">
        <f t="shared" si="4"/>
        <v>29556406</v>
      </c>
      <c r="J26" s="107">
        <f t="shared" si="5"/>
        <v>29556406</v>
      </c>
      <c r="K26" s="107">
        <f t="shared" ref="K26:N26" si="9">SUM(K27,K28)</f>
        <v>0</v>
      </c>
      <c r="L26" s="107">
        <f t="shared" si="9"/>
        <v>29556406</v>
      </c>
      <c r="M26" s="107">
        <f t="shared" si="9"/>
        <v>0</v>
      </c>
      <c r="N26" s="107">
        <f t="shared" si="9"/>
        <v>0</v>
      </c>
      <c r="O26" s="107">
        <f t="shared" si="6"/>
        <v>98521351</v>
      </c>
      <c r="P26" s="107"/>
      <c r="Q26" s="111">
        <f t="shared" ref="Q26" si="10">SUM(Q27,Q28)</f>
        <v>0</v>
      </c>
    </row>
    <row r="27" spans="1:17">
      <c r="A27" s="4" t="s">
        <v>312</v>
      </c>
      <c r="B27" s="4" t="s">
        <v>313</v>
      </c>
      <c r="C27" s="170" t="s">
        <v>288</v>
      </c>
      <c r="D27" s="107">
        <v>55171956</v>
      </c>
      <c r="E27" s="4">
        <v>0</v>
      </c>
      <c r="F27" s="21">
        <v>55171956</v>
      </c>
      <c r="G27" s="4">
        <v>0</v>
      </c>
      <c r="H27" s="4">
        <v>0</v>
      </c>
      <c r="I27" s="107">
        <v>23645125</v>
      </c>
      <c r="J27" s="107">
        <v>23645125</v>
      </c>
      <c r="K27" s="4">
        <v>0</v>
      </c>
      <c r="L27" s="4">
        <v>23645125</v>
      </c>
      <c r="M27" s="4">
        <v>0</v>
      </c>
      <c r="N27" s="4">
        <v>0</v>
      </c>
      <c r="O27" s="107">
        <v>78817081</v>
      </c>
      <c r="P27" s="4"/>
      <c r="Q27" s="9">
        <v>0</v>
      </c>
    </row>
    <row r="28" spans="1:17">
      <c r="A28" s="4" t="s">
        <v>314</v>
      </c>
      <c r="B28" s="4" t="s">
        <v>313</v>
      </c>
      <c r="C28" s="172"/>
      <c r="D28" s="107">
        <f t="shared" si="3"/>
        <v>13792989</v>
      </c>
      <c r="E28" s="4">
        <v>0</v>
      </c>
      <c r="F28" s="21">
        <v>13792989</v>
      </c>
      <c r="G28" s="4">
        <v>0</v>
      </c>
      <c r="H28" s="4">
        <v>0</v>
      </c>
      <c r="I28" s="107">
        <f t="shared" si="4"/>
        <v>5911281</v>
      </c>
      <c r="J28" s="107">
        <f t="shared" si="5"/>
        <v>5911281</v>
      </c>
      <c r="K28" s="4">
        <v>0</v>
      </c>
      <c r="L28" s="4">
        <v>5911281</v>
      </c>
      <c r="M28" s="4">
        <v>0</v>
      </c>
      <c r="N28" s="4">
        <v>0</v>
      </c>
      <c r="O28" s="107">
        <f t="shared" si="6"/>
        <v>19704270</v>
      </c>
      <c r="P28" s="4"/>
      <c r="Q28" s="9">
        <v>0</v>
      </c>
    </row>
    <row r="29" spans="1:17">
      <c r="A29" s="107" t="s">
        <v>315</v>
      </c>
      <c r="B29" s="107"/>
      <c r="C29" s="107"/>
      <c r="D29" s="107">
        <f t="shared" si="3"/>
        <v>322285645</v>
      </c>
      <c r="E29" s="107">
        <f>E30</f>
        <v>0</v>
      </c>
      <c r="F29" s="107">
        <f t="shared" ref="F29:H29" si="11">F30</f>
        <v>322285645</v>
      </c>
      <c r="G29" s="107">
        <f t="shared" si="11"/>
        <v>0</v>
      </c>
      <c r="H29" s="107">
        <f t="shared" si="11"/>
        <v>0</v>
      </c>
      <c r="I29" s="107">
        <f t="shared" si="4"/>
        <v>138122420</v>
      </c>
      <c r="J29" s="107">
        <f t="shared" si="5"/>
        <v>138122420</v>
      </c>
      <c r="K29" s="107">
        <f>K30</f>
        <v>10414698</v>
      </c>
      <c r="L29" s="107">
        <f t="shared" ref="L29:N29" si="12">L30</f>
        <v>127707722</v>
      </c>
      <c r="M29" s="107">
        <f t="shared" si="12"/>
        <v>0</v>
      </c>
      <c r="N29" s="107">
        <f t="shared" si="12"/>
        <v>0</v>
      </c>
      <c r="O29" s="107">
        <f t="shared" si="6"/>
        <v>460408065</v>
      </c>
      <c r="P29" s="107"/>
      <c r="Q29" s="111">
        <f>Q30</f>
        <v>10414698</v>
      </c>
    </row>
    <row r="30" spans="1:17" ht="22.5">
      <c r="A30" s="4" t="s">
        <v>316</v>
      </c>
      <c r="B30" s="4" t="s">
        <v>317</v>
      </c>
      <c r="C30" s="4" t="s">
        <v>288</v>
      </c>
      <c r="D30" s="107">
        <f t="shared" si="3"/>
        <v>322285645</v>
      </c>
      <c r="E30" s="4">
        <v>0</v>
      </c>
      <c r="F30" s="21">
        <v>322285645</v>
      </c>
      <c r="G30" s="4">
        <v>0</v>
      </c>
      <c r="H30" s="4">
        <v>0</v>
      </c>
      <c r="I30" s="107">
        <f t="shared" si="4"/>
        <v>138122420</v>
      </c>
      <c r="J30" s="107">
        <f t="shared" si="5"/>
        <v>138122420</v>
      </c>
      <c r="K30" s="4">
        <v>10414698</v>
      </c>
      <c r="L30" s="4">
        <v>127707722</v>
      </c>
      <c r="M30" s="4">
        <v>0</v>
      </c>
      <c r="N30" s="4">
        <v>0</v>
      </c>
      <c r="O30" s="107">
        <f t="shared" si="6"/>
        <v>460408065</v>
      </c>
      <c r="P30" s="4"/>
      <c r="Q30" s="9">
        <v>10414698</v>
      </c>
    </row>
    <row r="31" spans="1:17">
      <c r="A31" s="107" t="s">
        <v>318</v>
      </c>
      <c r="B31" s="107"/>
      <c r="C31" s="107"/>
      <c r="D31" s="107">
        <f t="shared" si="3"/>
        <v>122298605</v>
      </c>
      <c r="E31" s="107">
        <f>SUM(E32,E33)</f>
        <v>0</v>
      </c>
      <c r="F31" s="107">
        <f t="shared" ref="F31:H31" si="13">SUM(F32,F33)</f>
        <v>122298605</v>
      </c>
      <c r="G31" s="107">
        <f t="shared" si="13"/>
        <v>0</v>
      </c>
      <c r="H31" s="107">
        <f t="shared" si="13"/>
        <v>0</v>
      </c>
      <c r="I31" s="107">
        <f t="shared" si="4"/>
        <v>52413688</v>
      </c>
      <c r="J31" s="107">
        <f t="shared" si="5"/>
        <v>42397887</v>
      </c>
      <c r="K31" s="107">
        <f>SUM(K32,K33)</f>
        <v>4927941</v>
      </c>
      <c r="L31" s="107">
        <f t="shared" ref="L31:N31" si="14">SUM(L32,L33)</f>
        <v>37469946</v>
      </c>
      <c r="M31" s="107">
        <f t="shared" si="14"/>
        <v>0</v>
      </c>
      <c r="N31" s="107">
        <f t="shared" si="14"/>
        <v>10015801</v>
      </c>
      <c r="O31" s="107">
        <f t="shared" si="6"/>
        <v>174712293</v>
      </c>
      <c r="P31" s="107"/>
      <c r="Q31" s="111">
        <f>SUM(Q32,Q33)</f>
        <v>4927941</v>
      </c>
    </row>
    <row r="32" spans="1:17">
      <c r="A32" s="4" t="s">
        <v>319</v>
      </c>
      <c r="B32" s="4" t="s">
        <v>320</v>
      </c>
      <c r="C32" s="170" t="s">
        <v>288</v>
      </c>
      <c r="D32" s="107">
        <f t="shared" si="3"/>
        <v>70110607</v>
      </c>
      <c r="E32" s="4">
        <v>0</v>
      </c>
      <c r="F32" s="21">
        <v>70110607</v>
      </c>
      <c r="G32" s="4">
        <v>0</v>
      </c>
      <c r="H32" s="4">
        <v>0</v>
      </c>
      <c r="I32" s="107">
        <f t="shared" si="4"/>
        <v>30047403</v>
      </c>
      <c r="J32" s="107">
        <f t="shared" si="5"/>
        <v>20031602</v>
      </c>
      <c r="K32" s="4">
        <v>0</v>
      </c>
      <c r="L32" s="4">
        <v>20031602</v>
      </c>
      <c r="M32" s="4">
        <v>0</v>
      </c>
      <c r="N32" s="4">
        <v>10015801</v>
      </c>
      <c r="O32" s="107">
        <f t="shared" si="6"/>
        <v>100158010</v>
      </c>
      <c r="P32" s="4"/>
      <c r="Q32" s="9">
        <v>0</v>
      </c>
    </row>
    <row r="33" spans="1:17" ht="20.25" customHeight="1">
      <c r="A33" s="4" t="s">
        <v>321</v>
      </c>
      <c r="B33" s="4" t="s">
        <v>322</v>
      </c>
      <c r="C33" s="172"/>
      <c r="D33" s="107">
        <f t="shared" si="3"/>
        <v>52187998</v>
      </c>
      <c r="E33" s="4">
        <v>0</v>
      </c>
      <c r="F33" s="21">
        <v>52187998</v>
      </c>
      <c r="G33" s="4">
        <v>0</v>
      </c>
      <c r="H33" s="4">
        <v>0</v>
      </c>
      <c r="I33" s="107">
        <f t="shared" si="4"/>
        <v>22366285</v>
      </c>
      <c r="J33" s="107">
        <f t="shared" si="5"/>
        <v>22366285</v>
      </c>
      <c r="K33" s="4">
        <v>4927941</v>
      </c>
      <c r="L33" s="4">
        <v>17438344</v>
      </c>
      <c r="M33" s="4">
        <v>0</v>
      </c>
      <c r="N33" s="4">
        <v>0</v>
      </c>
      <c r="O33" s="107">
        <f t="shared" si="6"/>
        <v>74554283</v>
      </c>
      <c r="P33" s="4"/>
      <c r="Q33" s="9">
        <v>4927941</v>
      </c>
    </row>
    <row r="34" spans="1:17">
      <c r="A34" s="107" t="s">
        <v>323</v>
      </c>
      <c r="B34" s="107"/>
      <c r="C34" s="107"/>
      <c r="D34" s="107">
        <f t="shared" si="3"/>
        <v>100312648</v>
      </c>
      <c r="E34" s="107">
        <f>SUM(E35,E36)</f>
        <v>0</v>
      </c>
      <c r="F34" s="107">
        <f>SUM(F35,F36)</f>
        <v>100312648</v>
      </c>
      <c r="G34" s="107">
        <f>SUM(G35,G36)</f>
        <v>0</v>
      </c>
      <c r="H34" s="107">
        <f>SUM(H35,H36)</f>
        <v>0</v>
      </c>
      <c r="I34" s="107">
        <f t="shared" si="4"/>
        <v>42991135</v>
      </c>
      <c r="J34" s="107">
        <f t="shared" si="5"/>
        <v>42991135</v>
      </c>
      <c r="K34" s="107">
        <f>SUM(K35,K36)</f>
        <v>0</v>
      </c>
      <c r="L34" s="107">
        <f t="shared" ref="L34:N34" si="15">SUM(L35,L36)</f>
        <v>42991135</v>
      </c>
      <c r="M34" s="107">
        <f t="shared" si="15"/>
        <v>0</v>
      </c>
      <c r="N34" s="107">
        <f t="shared" si="15"/>
        <v>0</v>
      </c>
      <c r="O34" s="107">
        <f t="shared" si="6"/>
        <v>143303783</v>
      </c>
      <c r="P34" s="107"/>
      <c r="Q34" s="111">
        <f t="shared" ref="Q34" si="16">SUM(Q35,Q36)</f>
        <v>0</v>
      </c>
    </row>
    <row r="35" spans="1:17">
      <c r="A35" s="4" t="s">
        <v>324</v>
      </c>
      <c r="B35" s="4" t="s">
        <v>325</v>
      </c>
      <c r="C35" s="170" t="s">
        <v>288</v>
      </c>
      <c r="D35" s="107">
        <f t="shared" si="3"/>
        <v>89889223</v>
      </c>
      <c r="E35" s="4">
        <v>0</v>
      </c>
      <c r="F35" s="21">
        <v>89889223</v>
      </c>
      <c r="G35" s="4">
        <v>0</v>
      </c>
      <c r="H35" s="4">
        <v>0</v>
      </c>
      <c r="I35" s="107">
        <f t="shared" si="4"/>
        <v>38523953</v>
      </c>
      <c r="J35" s="107">
        <f t="shared" si="5"/>
        <v>38523953</v>
      </c>
      <c r="K35" s="4">
        <v>0</v>
      </c>
      <c r="L35" s="4">
        <v>38523953</v>
      </c>
      <c r="M35" s="4">
        <v>0</v>
      </c>
      <c r="N35" s="4">
        <v>0</v>
      </c>
      <c r="O35" s="107">
        <f t="shared" si="6"/>
        <v>128413176</v>
      </c>
      <c r="P35" s="4"/>
      <c r="Q35" s="9">
        <v>0</v>
      </c>
    </row>
    <row r="36" spans="1:17" ht="18.75" customHeight="1">
      <c r="A36" s="4" t="s">
        <v>326</v>
      </c>
      <c r="B36" s="4" t="s">
        <v>325</v>
      </c>
      <c r="C36" s="172"/>
      <c r="D36" s="107">
        <f t="shared" si="3"/>
        <v>10423425</v>
      </c>
      <c r="E36" s="4">
        <v>0</v>
      </c>
      <c r="F36" s="21">
        <v>10423425</v>
      </c>
      <c r="G36" s="4">
        <v>0</v>
      </c>
      <c r="H36" s="4">
        <v>0</v>
      </c>
      <c r="I36" s="107">
        <f t="shared" si="4"/>
        <v>4467182</v>
      </c>
      <c r="J36" s="107">
        <f t="shared" si="5"/>
        <v>4467182</v>
      </c>
      <c r="K36" s="4">
        <v>0</v>
      </c>
      <c r="L36" s="4">
        <v>4467182</v>
      </c>
      <c r="M36" s="4">
        <v>0</v>
      </c>
      <c r="N36" s="4">
        <v>0</v>
      </c>
      <c r="O36" s="107">
        <f t="shared" si="6"/>
        <v>14890607</v>
      </c>
      <c r="P36" s="4"/>
      <c r="Q36" s="9">
        <v>0</v>
      </c>
    </row>
    <row r="37" spans="1:17">
      <c r="A37" s="107" t="s">
        <v>327</v>
      </c>
      <c r="B37" s="107"/>
      <c r="C37" s="107"/>
      <c r="D37" s="107">
        <f t="shared" si="3"/>
        <v>327560171</v>
      </c>
      <c r="E37" s="107">
        <f>SUM(E38:E47)</f>
        <v>0</v>
      </c>
      <c r="F37" s="107">
        <f>SUM(F38:F47)</f>
        <v>0</v>
      </c>
      <c r="G37" s="107">
        <v>327560171</v>
      </c>
      <c r="H37" s="107">
        <f>SUM(H38:H47)</f>
        <v>0</v>
      </c>
      <c r="I37" s="107">
        <f t="shared" si="4"/>
        <v>140382931</v>
      </c>
      <c r="J37" s="107">
        <f t="shared" si="5"/>
        <v>122997554</v>
      </c>
      <c r="K37" s="107">
        <f>SUM(K38:K47)</f>
        <v>77084322</v>
      </c>
      <c r="L37" s="107">
        <f>SUM(L38:L47)</f>
        <v>6662863</v>
      </c>
      <c r="M37" s="107">
        <f t="shared" ref="M37:N37" si="17">SUM(M38:M47)</f>
        <v>39250369</v>
      </c>
      <c r="N37" s="107">
        <f t="shared" si="17"/>
        <v>17385377</v>
      </c>
      <c r="O37" s="107">
        <f t="shared" si="6"/>
        <v>467943102</v>
      </c>
      <c r="P37" s="107"/>
      <c r="Q37" s="111">
        <f t="shared" ref="Q37" si="18">SUM(Q38:Q47)</f>
        <v>77084322</v>
      </c>
    </row>
    <row r="38" spans="1:17">
      <c r="A38" s="4" t="s">
        <v>328</v>
      </c>
      <c r="B38" s="4" t="s">
        <v>329</v>
      </c>
      <c r="C38" s="170" t="s">
        <v>288</v>
      </c>
      <c r="D38" s="107">
        <v>91584194</v>
      </c>
      <c r="E38" s="4">
        <v>0</v>
      </c>
      <c r="F38" s="21">
        <v>0</v>
      </c>
      <c r="G38" s="21">
        <v>91584194</v>
      </c>
      <c r="H38" s="4">
        <v>0</v>
      </c>
      <c r="I38" s="107">
        <v>39250369</v>
      </c>
      <c r="J38" s="107">
        <v>39250369</v>
      </c>
      <c r="K38" s="21">
        <v>0</v>
      </c>
      <c r="L38" s="21">
        <v>0</v>
      </c>
      <c r="M38" s="21">
        <v>39250369</v>
      </c>
      <c r="N38" s="21">
        <v>0</v>
      </c>
      <c r="O38" s="107">
        <v>130834563</v>
      </c>
      <c r="P38" s="4"/>
      <c r="Q38" s="114">
        <v>0</v>
      </c>
    </row>
    <row r="39" spans="1:17">
      <c r="A39" s="4" t="s">
        <v>330</v>
      </c>
      <c r="B39" s="4" t="s">
        <v>331</v>
      </c>
      <c r="C39" s="171"/>
      <c r="D39" s="107">
        <v>1330000</v>
      </c>
      <c r="E39" s="4">
        <v>0</v>
      </c>
      <c r="F39" s="21">
        <v>0</v>
      </c>
      <c r="G39" s="21">
        <v>1330000</v>
      </c>
      <c r="H39" s="4">
        <v>0</v>
      </c>
      <c r="I39" s="107">
        <v>570000</v>
      </c>
      <c r="J39" s="107">
        <v>570000</v>
      </c>
      <c r="K39" s="21">
        <v>0</v>
      </c>
      <c r="L39" s="21">
        <v>570000</v>
      </c>
      <c r="M39" s="21">
        <v>0</v>
      </c>
      <c r="N39" s="21">
        <v>0</v>
      </c>
      <c r="O39" s="107">
        <v>1900000</v>
      </c>
      <c r="P39" s="4"/>
      <c r="Q39" s="114">
        <v>0</v>
      </c>
    </row>
    <row r="40" spans="1:17">
      <c r="A40" s="4" t="s">
        <v>332</v>
      </c>
      <c r="B40" s="4" t="s">
        <v>333</v>
      </c>
      <c r="C40" s="171"/>
      <c r="D40" s="107">
        <v>5000000</v>
      </c>
      <c r="E40" s="4">
        <v>0</v>
      </c>
      <c r="F40" s="21">
        <v>0</v>
      </c>
      <c r="G40" s="21">
        <v>5000000</v>
      </c>
      <c r="H40" s="4">
        <v>0</v>
      </c>
      <c r="I40" s="107">
        <v>2142857</v>
      </c>
      <c r="J40" s="107">
        <v>1882143</v>
      </c>
      <c r="K40" s="21">
        <v>1785714</v>
      </c>
      <c r="L40" s="21">
        <v>96429</v>
      </c>
      <c r="M40" s="21">
        <v>0</v>
      </c>
      <c r="N40" s="21">
        <v>260714</v>
      </c>
      <c r="O40" s="107">
        <v>7142857</v>
      </c>
      <c r="P40" s="4"/>
      <c r="Q40" s="114">
        <v>1785714</v>
      </c>
    </row>
    <row r="41" spans="1:17">
      <c r="A41" s="4" t="s">
        <v>334</v>
      </c>
      <c r="B41" s="4" t="s">
        <v>335</v>
      </c>
      <c r="C41" s="171"/>
      <c r="D41" s="107">
        <v>37735356</v>
      </c>
      <c r="E41" s="4">
        <v>0</v>
      </c>
      <c r="F41" s="21">
        <v>0</v>
      </c>
      <c r="G41" s="21">
        <v>37735356</v>
      </c>
      <c r="H41" s="4">
        <v>0</v>
      </c>
      <c r="I41" s="107">
        <v>16172296</v>
      </c>
      <c r="J41" s="107">
        <v>8382420</v>
      </c>
      <c r="K41" s="21">
        <v>6889818</v>
      </c>
      <c r="L41" s="21">
        <v>1492602</v>
      </c>
      <c r="M41" s="21">
        <v>0</v>
      </c>
      <c r="N41" s="21">
        <v>7789876</v>
      </c>
      <c r="O41" s="107">
        <v>53907652</v>
      </c>
      <c r="P41" s="4"/>
      <c r="Q41" s="114">
        <v>6889818</v>
      </c>
    </row>
    <row r="42" spans="1:17">
      <c r="A42" s="4" t="s">
        <v>336</v>
      </c>
      <c r="B42" s="4" t="s">
        <v>337</v>
      </c>
      <c r="C42" s="171"/>
      <c r="D42" s="107">
        <v>57661740</v>
      </c>
      <c r="E42" s="4">
        <v>0</v>
      </c>
      <c r="F42" s="21">
        <v>0</v>
      </c>
      <c r="G42" s="21">
        <v>57661740</v>
      </c>
      <c r="H42" s="4">
        <v>0</v>
      </c>
      <c r="I42" s="107">
        <v>24712174</v>
      </c>
      <c r="J42" s="107">
        <v>23638961</v>
      </c>
      <c r="K42" s="21">
        <v>22689414</v>
      </c>
      <c r="L42" s="21">
        <v>949547</v>
      </c>
      <c r="M42" s="21">
        <v>0</v>
      </c>
      <c r="N42" s="21">
        <v>1073213</v>
      </c>
      <c r="O42" s="107">
        <v>82373914</v>
      </c>
      <c r="P42" s="4"/>
      <c r="Q42" s="114">
        <v>22689414</v>
      </c>
    </row>
    <row r="43" spans="1:17">
      <c r="A43" s="4" t="s">
        <v>338</v>
      </c>
      <c r="B43" s="4" t="s">
        <v>339</v>
      </c>
      <c r="C43" s="171"/>
      <c r="D43" s="107">
        <v>21373067</v>
      </c>
      <c r="E43" s="4">
        <v>0</v>
      </c>
      <c r="F43" s="21">
        <v>0</v>
      </c>
      <c r="G43" s="21">
        <v>21373067</v>
      </c>
      <c r="H43" s="4">
        <v>0</v>
      </c>
      <c r="I43" s="107">
        <v>9159886</v>
      </c>
      <c r="J43" s="107">
        <v>7633238</v>
      </c>
      <c r="K43" s="21">
        <v>7633238</v>
      </c>
      <c r="L43" s="21">
        <v>0</v>
      </c>
      <c r="M43" s="21">
        <v>0</v>
      </c>
      <c r="N43" s="21">
        <v>1526648</v>
      </c>
      <c r="O43" s="107">
        <v>30532953</v>
      </c>
      <c r="P43" s="4"/>
      <c r="Q43" s="114">
        <v>7633238</v>
      </c>
    </row>
    <row r="44" spans="1:17">
      <c r="A44" s="4" t="s">
        <v>340</v>
      </c>
      <c r="B44" s="4" t="s">
        <v>341</v>
      </c>
      <c r="C44" s="171"/>
      <c r="D44" s="107">
        <v>59985151</v>
      </c>
      <c r="E44" s="4">
        <v>0</v>
      </c>
      <c r="F44" s="21">
        <v>0</v>
      </c>
      <c r="G44" s="21">
        <v>59985151</v>
      </c>
      <c r="H44" s="4">
        <v>0</v>
      </c>
      <c r="I44" s="107">
        <v>25707922</v>
      </c>
      <c r="J44" s="107">
        <v>22365756</v>
      </c>
      <c r="K44" s="21">
        <v>21423268</v>
      </c>
      <c r="L44" s="21">
        <v>942488</v>
      </c>
      <c r="M44" s="21">
        <v>0</v>
      </c>
      <c r="N44" s="21">
        <v>3342166</v>
      </c>
      <c r="O44" s="107">
        <v>85693073</v>
      </c>
      <c r="P44" s="4"/>
      <c r="Q44" s="114">
        <v>21423268</v>
      </c>
    </row>
    <row r="45" spans="1:17">
      <c r="A45" s="4" t="s">
        <v>342</v>
      </c>
      <c r="B45" s="4" t="s">
        <v>343</v>
      </c>
      <c r="C45" s="171"/>
      <c r="D45" s="107">
        <v>15731577</v>
      </c>
      <c r="E45" s="4">
        <v>0</v>
      </c>
      <c r="F45" s="21">
        <v>0</v>
      </c>
      <c r="G45" s="21">
        <v>15731577</v>
      </c>
      <c r="H45" s="4">
        <v>0</v>
      </c>
      <c r="I45" s="107">
        <v>6742105</v>
      </c>
      <c r="J45" s="107">
        <v>5742026</v>
      </c>
      <c r="K45" s="21">
        <v>5618420</v>
      </c>
      <c r="L45" s="21">
        <v>123606</v>
      </c>
      <c r="M45" s="21">
        <v>0</v>
      </c>
      <c r="N45" s="21">
        <v>1000079</v>
      </c>
      <c r="O45" s="107">
        <v>22473682</v>
      </c>
      <c r="P45" s="4"/>
      <c r="Q45" s="114">
        <v>5618420</v>
      </c>
    </row>
    <row r="46" spans="1:17">
      <c r="A46" s="4" t="s">
        <v>344</v>
      </c>
      <c r="B46" s="4" t="s">
        <v>341</v>
      </c>
      <c r="C46" s="171"/>
      <c r="D46" s="107">
        <v>19438123</v>
      </c>
      <c r="E46" s="4"/>
      <c r="F46" s="21"/>
      <c r="G46" s="21">
        <v>19438123</v>
      </c>
      <c r="H46" s="4"/>
      <c r="I46" s="107">
        <v>8330624</v>
      </c>
      <c r="J46" s="107">
        <v>5937943</v>
      </c>
      <c r="K46" s="21">
        <v>4901763</v>
      </c>
      <c r="L46" s="21">
        <v>1036180</v>
      </c>
      <c r="M46" s="21">
        <v>0</v>
      </c>
      <c r="N46" s="21">
        <v>2392681</v>
      </c>
      <c r="O46" s="107">
        <v>27768747</v>
      </c>
      <c r="P46" s="4"/>
      <c r="Q46" s="114">
        <v>4901763</v>
      </c>
    </row>
    <row r="47" spans="1:17" ht="22.5">
      <c r="A47" s="4" t="s">
        <v>345</v>
      </c>
      <c r="B47" s="4" t="s">
        <v>329</v>
      </c>
      <c r="C47" s="172"/>
      <c r="D47" s="107">
        <v>17720963</v>
      </c>
      <c r="E47" s="4"/>
      <c r="F47" s="21"/>
      <c r="G47" s="21">
        <v>17720963</v>
      </c>
      <c r="H47" s="4"/>
      <c r="I47" s="107">
        <v>7594698</v>
      </c>
      <c r="J47" s="107">
        <v>7594698</v>
      </c>
      <c r="K47" s="21">
        <v>6142687</v>
      </c>
      <c r="L47" s="21">
        <v>1452011</v>
      </c>
      <c r="M47" s="21">
        <v>0</v>
      </c>
      <c r="N47" s="21">
        <v>0</v>
      </c>
      <c r="O47" s="107">
        <v>25315661</v>
      </c>
      <c r="P47" s="4"/>
      <c r="Q47" s="114">
        <v>6142687</v>
      </c>
    </row>
    <row r="48" spans="1:17">
      <c r="A48" s="107" t="s">
        <v>346</v>
      </c>
      <c r="B48" s="107"/>
      <c r="C48" s="107"/>
      <c r="D48" s="107">
        <f>SUM(D49:D51)</f>
        <v>112746333</v>
      </c>
      <c r="E48" s="107">
        <f>SUM(E49,E50,E51)</f>
        <v>0</v>
      </c>
      <c r="F48" s="107">
        <f t="shared" ref="F48:H48" si="19">SUM(F49,F50,F51)</f>
        <v>0</v>
      </c>
      <c r="G48" s="107">
        <v>112746333</v>
      </c>
      <c r="H48" s="107">
        <f t="shared" si="19"/>
        <v>0</v>
      </c>
      <c r="I48" s="107">
        <f t="shared" si="4"/>
        <v>48319857</v>
      </c>
      <c r="J48" s="107">
        <f t="shared" si="5"/>
        <v>46191135</v>
      </c>
      <c r="K48" s="107">
        <f t="shared" ref="K48:N48" si="20">SUM(K49,K50,K51)</f>
        <v>23454207</v>
      </c>
      <c r="L48" s="107">
        <f t="shared" si="20"/>
        <v>22736928</v>
      </c>
      <c r="M48" s="107">
        <f t="shared" si="20"/>
        <v>0</v>
      </c>
      <c r="N48" s="107">
        <f t="shared" si="20"/>
        <v>2128722</v>
      </c>
      <c r="O48" s="107">
        <f t="shared" si="6"/>
        <v>161066190</v>
      </c>
      <c r="P48" s="107"/>
      <c r="Q48" s="111">
        <f t="shared" ref="Q48" si="21">SUM(Q49,Q50,Q51)</f>
        <v>23454207</v>
      </c>
    </row>
    <row r="49" spans="1:17">
      <c r="A49" s="4" t="s">
        <v>347</v>
      </c>
      <c r="B49" s="4" t="s">
        <v>322</v>
      </c>
      <c r="C49" s="170" t="s">
        <v>288</v>
      </c>
      <c r="D49" s="107">
        <v>76570511</v>
      </c>
      <c r="E49" s="4">
        <v>0</v>
      </c>
      <c r="F49" s="21">
        <v>0</v>
      </c>
      <c r="G49" s="21">
        <v>76570511</v>
      </c>
      <c r="H49" s="4">
        <v>0</v>
      </c>
      <c r="I49" s="107">
        <v>32815934</v>
      </c>
      <c r="J49" s="107">
        <v>32815934</v>
      </c>
      <c r="K49" s="21">
        <v>15914178</v>
      </c>
      <c r="L49" s="21">
        <v>16901756</v>
      </c>
      <c r="M49" s="21">
        <v>0</v>
      </c>
      <c r="N49" s="21">
        <v>0</v>
      </c>
      <c r="O49" s="107">
        <v>109386445</v>
      </c>
      <c r="P49" s="4"/>
      <c r="Q49" s="114">
        <v>15914178</v>
      </c>
    </row>
    <row r="50" spans="1:17">
      <c r="A50" s="4" t="s">
        <v>348</v>
      </c>
      <c r="B50" s="4" t="s">
        <v>349</v>
      </c>
      <c r="C50" s="171"/>
      <c r="D50" s="107">
        <v>16556728</v>
      </c>
      <c r="E50" s="4">
        <v>0</v>
      </c>
      <c r="F50" s="21">
        <v>0</v>
      </c>
      <c r="G50" s="21">
        <v>16556728</v>
      </c>
      <c r="H50" s="4">
        <v>0</v>
      </c>
      <c r="I50" s="107">
        <v>7095740</v>
      </c>
      <c r="J50" s="107">
        <v>4967018</v>
      </c>
      <c r="K50" s="21">
        <v>4730494</v>
      </c>
      <c r="L50" s="21">
        <v>236524</v>
      </c>
      <c r="M50" s="21">
        <v>0</v>
      </c>
      <c r="N50" s="21">
        <v>2128722</v>
      </c>
      <c r="O50" s="107">
        <v>23652468</v>
      </c>
      <c r="P50" s="4"/>
      <c r="Q50" s="114">
        <v>4730494</v>
      </c>
    </row>
    <row r="51" spans="1:17">
      <c r="A51" s="4" t="s">
        <v>350</v>
      </c>
      <c r="B51" s="4" t="s">
        <v>322</v>
      </c>
      <c r="C51" s="172"/>
      <c r="D51" s="107">
        <v>19619094</v>
      </c>
      <c r="E51" s="4"/>
      <c r="F51" s="21"/>
      <c r="G51" s="21">
        <v>19619094</v>
      </c>
      <c r="H51" s="4"/>
      <c r="I51" s="107">
        <v>8408183</v>
      </c>
      <c r="J51" s="107">
        <v>8408183</v>
      </c>
      <c r="K51" s="21">
        <v>2809535</v>
      </c>
      <c r="L51" s="21">
        <v>5598648</v>
      </c>
      <c r="M51" s="21">
        <v>0</v>
      </c>
      <c r="N51" s="21">
        <v>0</v>
      </c>
      <c r="O51" s="107">
        <v>28027277</v>
      </c>
      <c r="P51" s="4"/>
      <c r="Q51" s="114">
        <v>2809535</v>
      </c>
    </row>
    <row r="52" spans="1:17">
      <c r="A52" s="107" t="s">
        <v>351</v>
      </c>
      <c r="B52" s="107"/>
      <c r="C52" s="107"/>
      <c r="D52" s="107">
        <f t="shared" si="3"/>
        <v>558324070</v>
      </c>
      <c r="E52" s="107">
        <f>SUM(E53:E59)</f>
        <v>0</v>
      </c>
      <c r="F52" s="107">
        <f t="shared" ref="F52:H52" si="22">SUM(F53:F59)</f>
        <v>0</v>
      </c>
      <c r="G52" s="107">
        <f t="shared" si="22"/>
        <v>0</v>
      </c>
      <c r="H52" s="107">
        <f t="shared" si="22"/>
        <v>558324070</v>
      </c>
      <c r="I52" s="107">
        <f t="shared" si="4"/>
        <v>239281747</v>
      </c>
      <c r="J52" s="107">
        <f t="shared" si="5"/>
        <v>168914498</v>
      </c>
      <c r="K52" s="107">
        <f t="shared" ref="K52:N52" si="23">SUM(K53:K59)</f>
        <v>88771861</v>
      </c>
      <c r="L52" s="107">
        <f t="shared" si="23"/>
        <v>80142637</v>
      </c>
      <c r="M52" s="107">
        <f t="shared" si="23"/>
        <v>0</v>
      </c>
      <c r="N52" s="107">
        <f t="shared" si="23"/>
        <v>70367249</v>
      </c>
      <c r="O52" s="107">
        <f t="shared" si="6"/>
        <v>797605817</v>
      </c>
      <c r="P52" s="107"/>
      <c r="Q52" s="111">
        <f t="shared" ref="Q52" si="24">SUM(Q53:Q59)</f>
        <v>88771861</v>
      </c>
    </row>
    <row r="53" spans="1:17">
      <c r="A53" s="4" t="s">
        <v>352</v>
      </c>
      <c r="B53" s="4" t="s">
        <v>353</v>
      </c>
      <c r="C53" s="170" t="s">
        <v>288</v>
      </c>
      <c r="D53" s="107">
        <f t="shared" si="3"/>
        <v>43250000</v>
      </c>
      <c r="E53" s="4">
        <v>0</v>
      </c>
      <c r="F53" s="21">
        <v>0</v>
      </c>
      <c r="G53" s="4">
        <v>0</v>
      </c>
      <c r="H53" s="21">
        <v>43250000</v>
      </c>
      <c r="I53" s="107">
        <f t="shared" si="4"/>
        <v>18535714</v>
      </c>
      <c r="J53" s="107">
        <f t="shared" si="5"/>
        <v>14235346</v>
      </c>
      <c r="K53" s="21">
        <v>14235346</v>
      </c>
      <c r="L53" s="21">
        <v>0</v>
      </c>
      <c r="M53" s="21">
        <v>0</v>
      </c>
      <c r="N53" s="21">
        <v>4300368</v>
      </c>
      <c r="O53" s="107">
        <f t="shared" si="6"/>
        <v>61785714</v>
      </c>
      <c r="P53" s="4"/>
      <c r="Q53" s="114">
        <v>14235346</v>
      </c>
    </row>
    <row r="54" spans="1:17">
      <c r="A54" s="4" t="s">
        <v>354</v>
      </c>
      <c r="B54" s="4" t="s">
        <v>353</v>
      </c>
      <c r="C54" s="171"/>
      <c r="D54" s="107">
        <f t="shared" si="3"/>
        <v>26750000</v>
      </c>
      <c r="E54" s="4">
        <v>0</v>
      </c>
      <c r="F54" s="21">
        <v>0</v>
      </c>
      <c r="G54" s="4">
        <v>0</v>
      </c>
      <c r="H54" s="21">
        <v>26750000</v>
      </c>
      <c r="I54" s="107">
        <f t="shared" si="4"/>
        <v>11464286</v>
      </c>
      <c r="J54" s="107">
        <f t="shared" si="5"/>
        <v>11464286</v>
      </c>
      <c r="K54" s="21">
        <v>1614917</v>
      </c>
      <c r="L54" s="21">
        <v>9849369</v>
      </c>
      <c r="M54" s="21">
        <v>0</v>
      </c>
      <c r="N54" s="21">
        <v>0</v>
      </c>
      <c r="O54" s="107">
        <f t="shared" si="6"/>
        <v>38214286</v>
      </c>
      <c r="P54" s="4"/>
      <c r="Q54" s="21">
        <v>1614917</v>
      </c>
    </row>
    <row r="55" spans="1:17">
      <c r="A55" s="4" t="s">
        <v>355</v>
      </c>
      <c r="B55" s="4" t="s">
        <v>353</v>
      </c>
      <c r="C55" s="171"/>
      <c r="D55" s="107">
        <f t="shared" si="3"/>
        <v>15000000</v>
      </c>
      <c r="E55" s="4">
        <v>0</v>
      </c>
      <c r="F55" s="21">
        <v>0</v>
      </c>
      <c r="G55" s="4">
        <v>0</v>
      </c>
      <c r="H55" s="21">
        <v>15000000</v>
      </c>
      <c r="I55" s="107">
        <f t="shared" si="4"/>
        <v>6428571</v>
      </c>
      <c r="J55" s="107">
        <f t="shared" si="5"/>
        <v>4055204</v>
      </c>
      <c r="K55" s="21">
        <v>3214286</v>
      </c>
      <c r="L55" s="21">
        <v>840918</v>
      </c>
      <c r="M55" s="21">
        <v>0</v>
      </c>
      <c r="N55" s="21">
        <v>2373367</v>
      </c>
      <c r="O55" s="107">
        <f t="shared" si="6"/>
        <v>21428571</v>
      </c>
      <c r="P55" s="4"/>
      <c r="Q55" s="21">
        <v>3214286</v>
      </c>
    </row>
    <row r="56" spans="1:17">
      <c r="A56" s="4" t="s">
        <v>356</v>
      </c>
      <c r="B56" s="4" t="s">
        <v>353</v>
      </c>
      <c r="C56" s="171"/>
      <c r="D56" s="107">
        <f t="shared" si="3"/>
        <v>124645366</v>
      </c>
      <c r="E56" s="4">
        <v>0</v>
      </c>
      <c r="F56" s="21">
        <v>0</v>
      </c>
      <c r="G56" s="4">
        <v>0</v>
      </c>
      <c r="H56" s="21">
        <v>124645366</v>
      </c>
      <c r="I56" s="107">
        <f t="shared" si="4"/>
        <v>53419444</v>
      </c>
      <c r="J56" s="107">
        <f t="shared" si="5"/>
        <v>0</v>
      </c>
      <c r="K56" s="21">
        <v>0</v>
      </c>
      <c r="L56" s="21">
        <v>0</v>
      </c>
      <c r="M56" s="21">
        <v>0</v>
      </c>
      <c r="N56" s="21">
        <v>53419444</v>
      </c>
      <c r="O56" s="107">
        <f t="shared" si="6"/>
        <v>178064810</v>
      </c>
      <c r="P56" s="4"/>
      <c r="Q56" s="114">
        <v>0</v>
      </c>
    </row>
    <row r="57" spans="1:17">
      <c r="A57" s="4" t="s">
        <v>357</v>
      </c>
      <c r="B57" s="4" t="s">
        <v>353</v>
      </c>
      <c r="C57" s="171"/>
      <c r="D57" s="107">
        <f t="shared" si="3"/>
        <v>143836977</v>
      </c>
      <c r="E57" s="4">
        <v>0</v>
      </c>
      <c r="F57" s="21">
        <v>0</v>
      </c>
      <c r="G57" s="4">
        <v>0</v>
      </c>
      <c r="H57" s="21">
        <v>143836977</v>
      </c>
      <c r="I57" s="107">
        <f t="shared" si="4"/>
        <v>61644420</v>
      </c>
      <c r="J57" s="107">
        <f t="shared" si="5"/>
        <v>51370350</v>
      </c>
      <c r="K57" s="21">
        <v>26940539</v>
      </c>
      <c r="L57" s="21">
        <v>24429811</v>
      </c>
      <c r="M57" s="21">
        <v>0</v>
      </c>
      <c r="N57" s="21">
        <v>10274070</v>
      </c>
      <c r="O57" s="107">
        <f t="shared" si="6"/>
        <v>205481397</v>
      </c>
      <c r="P57" s="4"/>
      <c r="Q57" s="114">
        <v>26940539</v>
      </c>
    </row>
    <row r="58" spans="1:17">
      <c r="A58" s="4" t="s">
        <v>358</v>
      </c>
      <c r="B58" s="4" t="s">
        <v>353</v>
      </c>
      <c r="C58" s="171"/>
      <c r="D58" s="107">
        <f t="shared" si="3"/>
        <v>155994425</v>
      </c>
      <c r="E58" s="4">
        <v>0</v>
      </c>
      <c r="F58" s="21">
        <v>0</v>
      </c>
      <c r="G58" s="4">
        <v>0</v>
      </c>
      <c r="H58" s="21">
        <v>155994425</v>
      </c>
      <c r="I58" s="107">
        <f t="shared" si="4"/>
        <v>66854754</v>
      </c>
      <c r="J58" s="107">
        <f t="shared" si="5"/>
        <v>66854754</v>
      </c>
      <c r="K58" s="21">
        <v>32292799</v>
      </c>
      <c r="L58" s="21">
        <v>34561955</v>
      </c>
      <c r="M58" s="21">
        <v>0</v>
      </c>
      <c r="N58" s="21">
        <v>0</v>
      </c>
      <c r="O58" s="107">
        <f t="shared" si="6"/>
        <v>222849179</v>
      </c>
      <c r="P58" s="4"/>
      <c r="Q58" s="114">
        <v>31840274</v>
      </c>
    </row>
    <row r="59" spans="1:17">
      <c r="A59" s="4" t="s">
        <v>443</v>
      </c>
      <c r="B59" s="4" t="s">
        <v>353</v>
      </c>
      <c r="C59" s="172"/>
      <c r="D59" s="107">
        <f t="shared" si="3"/>
        <v>48847302</v>
      </c>
      <c r="E59" s="4">
        <v>0</v>
      </c>
      <c r="F59" s="21">
        <v>0</v>
      </c>
      <c r="G59" s="4">
        <v>0</v>
      </c>
      <c r="H59" s="21">
        <v>48847302</v>
      </c>
      <c r="I59" s="107">
        <f t="shared" si="4"/>
        <v>20934558</v>
      </c>
      <c r="J59" s="107">
        <f t="shared" si="5"/>
        <v>20934558</v>
      </c>
      <c r="K59" s="21">
        <v>10473974</v>
      </c>
      <c r="L59" s="21">
        <v>10460584</v>
      </c>
      <c r="M59" s="21">
        <v>0</v>
      </c>
      <c r="N59" s="21">
        <v>0</v>
      </c>
      <c r="O59" s="107">
        <f t="shared" si="6"/>
        <v>69781860</v>
      </c>
      <c r="P59" s="4"/>
      <c r="Q59" s="114">
        <v>10926499</v>
      </c>
    </row>
    <row r="60" spans="1:17" ht="45">
      <c r="A60" s="107" t="s">
        <v>359</v>
      </c>
      <c r="B60" s="107"/>
      <c r="C60" s="107"/>
      <c r="D60" s="107">
        <f t="shared" si="3"/>
        <v>50796217</v>
      </c>
      <c r="E60" s="107">
        <f>E61</f>
        <v>0</v>
      </c>
      <c r="F60" s="107">
        <f t="shared" ref="F60:H60" si="25">F61</f>
        <v>50796217</v>
      </c>
      <c r="G60" s="107">
        <f t="shared" si="25"/>
        <v>0</v>
      </c>
      <c r="H60" s="107">
        <f t="shared" si="25"/>
        <v>0</v>
      </c>
      <c r="I60" s="107">
        <f t="shared" si="4"/>
        <v>27769808</v>
      </c>
      <c r="J60" s="107">
        <f t="shared" si="5"/>
        <v>27769808</v>
      </c>
      <c r="K60" s="107">
        <f t="shared" ref="K60:N60" si="26">K61</f>
        <v>0</v>
      </c>
      <c r="L60" s="107">
        <f t="shared" si="26"/>
        <v>27769808</v>
      </c>
      <c r="M60" s="107">
        <f t="shared" si="26"/>
        <v>0</v>
      </c>
      <c r="N60" s="107">
        <f t="shared" si="26"/>
        <v>0</v>
      </c>
      <c r="O60" s="107">
        <f t="shared" si="6"/>
        <v>78566025</v>
      </c>
      <c r="P60" s="107"/>
      <c r="Q60" s="111">
        <f t="shared" ref="Q60" si="27">Q61</f>
        <v>0</v>
      </c>
    </row>
    <row r="61" spans="1:17" ht="22.5">
      <c r="A61" s="4" t="s">
        <v>360</v>
      </c>
      <c r="B61" s="4" t="s">
        <v>158</v>
      </c>
      <c r="C61" s="4" t="s">
        <v>288</v>
      </c>
      <c r="D61" s="107">
        <f t="shared" si="3"/>
        <v>50796217</v>
      </c>
      <c r="E61" s="4">
        <v>0</v>
      </c>
      <c r="F61" s="21">
        <v>50796217</v>
      </c>
      <c r="G61" s="4">
        <v>0</v>
      </c>
      <c r="H61" s="4">
        <v>0</v>
      </c>
      <c r="I61" s="107">
        <f t="shared" si="4"/>
        <v>27769808</v>
      </c>
      <c r="J61" s="107">
        <f t="shared" si="5"/>
        <v>27769808</v>
      </c>
      <c r="K61" s="4">
        <v>0</v>
      </c>
      <c r="L61" s="4">
        <v>27769808</v>
      </c>
      <c r="M61" s="4">
        <v>0</v>
      </c>
      <c r="N61" s="4">
        <v>0</v>
      </c>
      <c r="O61" s="107">
        <f t="shared" si="6"/>
        <v>78566025</v>
      </c>
      <c r="P61" s="4"/>
      <c r="Q61" s="9">
        <v>0</v>
      </c>
    </row>
    <row r="62" spans="1:17" ht="45">
      <c r="A62" s="107" t="s">
        <v>361</v>
      </c>
      <c r="B62" s="107"/>
      <c r="C62" s="107"/>
      <c r="D62" s="107">
        <f t="shared" si="3"/>
        <v>18608856</v>
      </c>
      <c r="E62" s="107">
        <f>E63</f>
        <v>0</v>
      </c>
      <c r="F62" s="107">
        <f t="shared" ref="F62:H62" si="28">F63</f>
        <v>0</v>
      </c>
      <c r="G62" s="107">
        <f t="shared" si="28"/>
        <v>18608856</v>
      </c>
      <c r="H62" s="107">
        <f t="shared" si="28"/>
        <v>0</v>
      </c>
      <c r="I62" s="107">
        <f t="shared" si="4"/>
        <v>7975225</v>
      </c>
      <c r="J62" s="107">
        <f t="shared" si="5"/>
        <v>7975225</v>
      </c>
      <c r="K62" s="107">
        <f>K63</f>
        <v>0</v>
      </c>
      <c r="L62" s="107">
        <f t="shared" ref="L62:N62" si="29">L63</f>
        <v>7975225</v>
      </c>
      <c r="M62" s="107">
        <f t="shared" si="29"/>
        <v>0</v>
      </c>
      <c r="N62" s="107">
        <f t="shared" si="29"/>
        <v>0</v>
      </c>
      <c r="O62" s="107">
        <f t="shared" si="6"/>
        <v>26584081</v>
      </c>
      <c r="P62" s="107"/>
      <c r="Q62" s="111">
        <f>Q63</f>
        <v>0</v>
      </c>
    </row>
    <row r="63" spans="1:17" ht="22.5">
      <c r="A63" s="4" t="s">
        <v>362</v>
      </c>
      <c r="B63" s="4" t="s">
        <v>158</v>
      </c>
      <c r="C63" s="4" t="s">
        <v>288</v>
      </c>
      <c r="D63" s="107">
        <f t="shared" si="3"/>
        <v>18608856</v>
      </c>
      <c r="E63" s="4">
        <v>0</v>
      </c>
      <c r="F63" s="21">
        <v>0</v>
      </c>
      <c r="G63" s="21">
        <v>18608856</v>
      </c>
      <c r="H63" s="4">
        <v>0</v>
      </c>
      <c r="I63" s="107">
        <f t="shared" si="4"/>
        <v>7975225</v>
      </c>
      <c r="J63" s="107">
        <f t="shared" si="5"/>
        <v>7975225</v>
      </c>
      <c r="K63" s="4">
        <v>0</v>
      </c>
      <c r="L63" s="21">
        <v>7975225</v>
      </c>
      <c r="M63" s="4">
        <v>0</v>
      </c>
      <c r="N63" s="4">
        <v>0</v>
      </c>
      <c r="O63" s="107">
        <f t="shared" si="6"/>
        <v>26584081</v>
      </c>
      <c r="P63" s="4"/>
      <c r="Q63" s="9">
        <v>0</v>
      </c>
    </row>
    <row r="64" spans="1:17" ht="45">
      <c r="A64" s="107" t="s">
        <v>363</v>
      </c>
      <c r="B64" s="107"/>
      <c r="C64" s="107"/>
      <c r="D64" s="107">
        <f t="shared" si="3"/>
        <v>23263501</v>
      </c>
      <c r="E64" s="107">
        <f>E65</f>
        <v>0</v>
      </c>
      <c r="F64" s="107">
        <f t="shared" ref="F64:H64" si="30">F65</f>
        <v>0</v>
      </c>
      <c r="G64" s="107">
        <f t="shared" si="30"/>
        <v>0</v>
      </c>
      <c r="H64" s="107">
        <f t="shared" si="30"/>
        <v>23263501</v>
      </c>
      <c r="I64" s="107">
        <f t="shared" si="4"/>
        <v>9970074</v>
      </c>
      <c r="J64" s="107">
        <f t="shared" si="5"/>
        <v>9970074</v>
      </c>
      <c r="K64" s="107">
        <f>K65</f>
        <v>0</v>
      </c>
      <c r="L64" s="107">
        <f t="shared" ref="L64:N64" si="31">L65</f>
        <v>9970074</v>
      </c>
      <c r="M64" s="107">
        <f t="shared" si="31"/>
        <v>0</v>
      </c>
      <c r="N64" s="107">
        <f t="shared" si="31"/>
        <v>0</v>
      </c>
      <c r="O64" s="107">
        <f t="shared" si="6"/>
        <v>33233575</v>
      </c>
      <c r="P64" s="107"/>
      <c r="Q64" s="111">
        <f>Q65</f>
        <v>0</v>
      </c>
    </row>
    <row r="65" spans="1:17" ht="22.5">
      <c r="A65" s="4" t="s">
        <v>364</v>
      </c>
      <c r="B65" s="4" t="s">
        <v>158</v>
      </c>
      <c r="C65" s="4" t="s">
        <v>288</v>
      </c>
      <c r="D65" s="107">
        <f t="shared" si="3"/>
        <v>23263501</v>
      </c>
      <c r="E65" s="4">
        <v>0</v>
      </c>
      <c r="F65" s="21">
        <v>0</v>
      </c>
      <c r="G65" s="4">
        <v>0</v>
      </c>
      <c r="H65" s="4">
        <v>23263501</v>
      </c>
      <c r="I65" s="107">
        <f t="shared" si="4"/>
        <v>9970074</v>
      </c>
      <c r="J65" s="107">
        <f t="shared" si="5"/>
        <v>9970074</v>
      </c>
      <c r="K65" s="4">
        <v>0</v>
      </c>
      <c r="L65" s="4">
        <v>9970074</v>
      </c>
      <c r="M65" s="4">
        <v>0</v>
      </c>
      <c r="N65" s="4">
        <v>0</v>
      </c>
      <c r="O65" s="107">
        <f t="shared" si="6"/>
        <v>33233575</v>
      </c>
      <c r="P65" s="4"/>
      <c r="Q65" s="9">
        <v>0</v>
      </c>
    </row>
    <row r="66" spans="1:17" ht="22.5">
      <c r="A66" s="107" t="s">
        <v>449</v>
      </c>
      <c r="B66" s="107"/>
      <c r="C66" s="107"/>
      <c r="D66" s="107">
        <f t="shared" si="3"/>
        <v>82407723</v>
      </c>
      <c r="E66" s="107">
        <f>E67</f>
        <v>0</v>
      </c>
      <c r="F66" s="107">
        <f t="shared" ref="F66:H68" si="32">F67</f>
        <v>82407723</v>
      </c>
      <c r="G66" s="107">
        <f t="shared" si="32"/>
        <v>0</v>
      </c>
      <c r="H66" s="107">
        <f t="shared" si="32"/>
        <v>0</v>
      </c>
      <c r="I66" s="107">
        <f t="shared" si="4"/>
        <v>4337249</v>
      </c>
      <c r="J66" s="107">
        <f t="shared" si="5"/>
        <v>4337249</v>
      </c>
      <c r="K66" s="107">
        <f>K67</f>
        <v>0</v>
      </c>
      <c r="L66" s="107">
        <f t="shared" ref="L66:N68" si="33">L67</f>
        <v>4337249</v>
      </c>
      <c r="M66" s="107">
        <f t="shared" si="33"/>
        <v>0</v>
      </c>
      <c r="N66" s="107">
        <f t="shared" si="33"/>
        <v>0</v>
      </c>
      <c r="O66" s="107">
        <f t="shared" si="6"/>
        <v>86744972</v>
      </c>
      <c r="P66" s="107"/>
      <c r="Q66" s="111">
        <f>Q67</f>
        <v>0</v>
      </c>
    </row>
    <row r="67" spans="1:17" ht="24">
      <c r="A67" s="115" t="s">
        <v>450</v>
      </c>
      <c r="B67" s="4" t="s">
        <v>444</v>
      </c>
      <c r="C67" s="112" t="s">
        <v>288</v>
      </c>
      <c r="D67" s="107">
        <f t="shared" si="3"/>
        <v>82407723</v>
      </c>
      <c r="E67" s="4"/>
      <c r="F67" s="21">
        <v>82407723</v>
      </c>
      <c r="G67" s="4"/>
      <c r="H67" s="4"/>
      <c r="I67" s="107">
        <f t="shared" si="4"/>
        <v>4337249</v>
      </c>
      <c r="J67" s="107">
        <f t="shared" si="5"/>
        <v>4337249</v>
      </c>
      <c r="K67" s="4"/>
      <c r="L67" s="4">
        <v>4337249</v>
      </c>
      <c r="M67" s="4"/>
      <c r="N67" s="4"/>
      <c r="O67" s="107">
        <f t="shared" si="6"/>
        <v>86744972</v>
      </c>
      <c r="P67" s="4"/>
      <c r="Q67" s="9"/>
    </row>
    <row r="68" spans="1:17" ht="22.5">
      <c r="A68" s="107" t="s">
        <v>453</v>
      </c>
      <c r="B68" s="107"/>
      <c r="C68" s="107"/>
      <c r="D68" s="107">
        <f t="shared" si="3"/>
        <v>20000000</v>
      </c>
      <c r="E68" s="107">
        <f>E69</f>
        <v>0</v>
      </c>
      <c r="F68" s="107">
        <f t="shared" si="32"/>
        <v>20000000</v>
      </c>
      <c r="G68" s="107">
        <f t="shared" si="32"/>
        <v>0</v>
      </c>
      <c r="H68" s="107">
        <f t="shared" si="32"/>
        <v>0</v>
      </c>
      <c r="I68" s="107">
        <f t="shared" si="4"/>
        <v>0</v>
      </c>
      <c r="J68" s="107">
        <f t="shared" si="5"/>
        <v>0</v>
      </c>
      <c r="K68" s="107">
        <f>K69</f>
        <v>0</v>
      </c>
      <c r="L68" s="107">
        <f t="shared" si="33"/>
        <v>0</v>
      </c>
      <c r="M68" s="107">
        <f t="shared" si="33"/>
        <v>0</v>
      </c>
      <c r="N68" s="107">
        <f t="shared" si="33"/>
        <v>0</v>
      </c>
      <c r="O68" s="107">
        <f t="shared" si="6"/>
        <v>20000000</v>
      </c>
      <c r="P68" s="107"/>
      <c r="Q68" s="111">
        <f>Q69</f>
        <v>0</v>
      </c>
    </row>
    <row r="69" spans="1:17" ht="24">
      <c r="A69" s="115" t="s">
        <v>454</v>
      </c>
      <c r="B69" s="4" t="s">
        <v>455</v>
      </c>
      <c r="C69" s="112" t="s">
        <v>288</v>
      </c>
      <c r="D69" s="107">
        <f t="shared" si="3"/>
        <v>20000000</v>
      </c>
      <c r="E69" s="4"/>
      <c r="F69" s="21">
        <v>20000000</v>
      </c>
      <c r="G69" s="4"/>
      <c r="H69" s="4"/>
      <c r="I69" s="107">
        <f t="shared" si="4"/>
        <v>0</v>
      </c>
      <c r="J69" s="107">
        <f t="shared" si="5"/>
        <v>0</v>
      </c>
      <c r="K69" s="4"/>
      <c r="L69" s="4">
        <v>0</v>
      </c>
      <c r="M69" s="4"/>
      <c r="N69" s="4"/>
      <c r="O69" s="107">
        <f t="shared" si="6"/>
        <v>20000000</v>
      </c>
      <c r="P69" s="4"/>
      <c r="Q69" s="9"/>
    </row>
    <row r="70" spans="1:17">
      <c r="A70" s="109" t="s">
        <v>160</v>
      </c>
      <c r="B70" s="109"/>
      <c r="C70" s="110"/>
      <c r="D70" s="107">
        <f t="shared" si="3"/>
        <v>2316276312</v>
      </c>
      <c r="E70" s="108">
        <f>SUM(E8,E14,E26,E29,E31,E34,E37,E48,E52,E60,E62,E64,E66,E68)</f>
        <v>0</v>
      </c>
      <c r="F70" s="108">
        <f t="shared" ref="F70:H70" si="34">SUM(F8,F14,F26,F29,F31,F34,F37,F48,F52,F60,F62,F64,F66,F68)</f>
        <v>1275773381</v>
      </c>
      <c r="G70" s="108">
        <f t="shared" si="34"/>
        <v>458915360</v>
      </c>
      <c r="H70" s="108">
        <f t="shared" si="34"/>
        <v>581587571</v>
      </c>
      <c r="I70" s="107">
        <f t="shared" si="4"/>
        <v>959138083</v>
      </c>
      <c r="J70" s="107">
        <f t="shared" si="5"/>
        <v>754304203</v>
      </c>
      <c r="K70" s="108">
        <f>SUM(K8,K14,K26,K29,K31,K34,K37,K48,K52,K60,K62,K64,K66,K68)</f>
        <v>222526049</v>
      </c>
      <c r="L70" s="108">
        <f t="shared" ref="L70:P70" si="35">SUM(L8,L14,L26,L29,L31,L34,L37,L48,L52,L60,L62,L64,L66,L68)</f>
        <v>492527785</v>
      </c>
      <c r="M70" s="108">
        <f t="shared" si="35"/>
        <v>39250369</v>
      </c>
      <c r="N70" s="108">
        <f t="shared" si="35"/>
        <v>204833880</v>
      </c>
      <c r="O70" s="107">
        <f t="shared" si="6"/>
        <v>3275414395</v>
      </c>
      <c r="P70" s="108">
        <f t="shared" si="35"/>
        <v>0</v>
      </c>
      <c r="Q70" s="108">
        <f>SUM(Q8,Q14,Q26,Q29,Q31,Q34,Q37,Q48,Q52,Q60,Q62,Q64,Q66,Q68)</f>
        <v>222526049</v>
      </c>
    </row>
    <row r="71" spans="1:17">
      <c r="A71" s="105"/>
      <c r="B71" s="106"/>
      <c r="D71" s="116"/>
      <c r="F71" s="117"/>
      <c r="I71" s="120"/>
      <c r="J71" s="121"/>
      <c r="N71" s="120"/>
      <c r="Q71" s="94"/>
    </row>
    <row r="72" spans="1:17">
      <c r="A72" s="105"/>
      <c r="B72" s="106"/>
      <c r="D72" s="38"/>
      <c r="E72" s="38"/>
      <c r="F72" s="122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94"/>
    </row>
    <row r="73" spans="1:17">
      <c r="A73" s="105"/>
      <c r="B73" s="106"/>
      <c r="D73" s="38"/>
      <c r="E73" s="38"/>
      <c r="F73" s="122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94"/>
    </row>
    <row r="74" spans="1:17">
      <c r="A74" s="105"/>
      <c r="B74" s="106"/>
      <c r="D74" s="38"/>
      <c r="E74" s="38"/>
      <c r="F74" s="122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94"/>
    </row>
    <row r="75" spans="1:17">
      <c r="A75" s="105"/>
      <c r="B75" s="106"/>
      <c r="D75" s="38"/>
      <c r="E75" s="38"/>
      <c r="F75" s="122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94"/>
    </row>
  </sheetData>
  <mergeCells count="18">
    <mergeCell ref="A2:P2"/>
    <mergeCell ref="A3:A6"/>
    <mergeCell ref="B3:B6"/>
    <mergeCell ref="C3:C6"/>
    <mergeCell ref="D3:G3"/>
    <mergeCell ref="J3:M3"/>
    <mergeCell ref="N3:N4"/>
    <mergeCell ref="O3:O4"/>
    <mergeCell ref="P3:P4"/>
    <mergeCell ref="C38:C47"/>
    <mergeCell ref="C49:C51"/>
    <mergeCell ref="C53:C59"/>
    <mergeCell ref="Q3:Q4"/>
    <mergeCell ref="C9:C13"/>
    <mergeCell ref="C15:C25"/>
    <mergeCell ref="C27:C28"/>
    <mergeCell ref="C32:C33"/>
    <mergeCell ref="C35:C36"/>
  </mergeCells>
  <pageMargins left="0.7" right="0.7" top="0.75" bottom="0.75" header="0.3" footer="0.3"/>
  <pageSetup paperSize="9" scale="59" fitToHeight="0" orientation="landscape" r:id="rId1"/>
  <rowBreaks count="1" manualBreakCount="1">
    <brk id="5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A2765-B9F5-4135-8330-C7CA3C66C0F7}">
  <dimension ref="A1:F170"/>
  <sheetViews>
    <sheetView view="pageBreakPreview" zoomScale="60" zoomScaleNormal="100" workbookViewId="0">
      <selection activeCell="I16" sqref="I16"/>
    </sheetView>
  </sheetViews>
  <sheetFormatPr defaultRowHeight="14.25"/>
  <cols>
    <col min="1" max="1" width="12.75" style="96" customWidth="1"/>
    <col min="2" max="2" width="11.5" style="96" customWidth="1"/>
    <col min="3" max="3" width="12.5" style="96" customWidth="1"/>
    <col min="4" max="4" width="18.25" style="96" customWidth="1"/>
    <col min="5" max="5" width="9" style="96"/>
    <col min="6" max="6" width="18.5" style="96" customWidth="1"/>
  </cols>
  <sheetData>
    <row r="1" spans="1:6" ht="15">
      <c r="A1" s="206" t="s">
        <v>471</v>
      </c>
      <c r="B1" s="206"/>
      <c r="C1" s="206"/>
      <c r="D1" s="206"/>
      <c r="E1" s="206"/>
      <c r="F1" s="206"/>
    </row>
    <row r="2" spans="1:6" ht="38.25">
      <c r="A2" s="125" t="s">
        <v>238</v>
      </c>
      <c r="B2" s="125" t="s">
        <v>239</v>
      </c>
      <c r="C2" s="125" t="s">
        <v>240</v>
      </c>
      <c r="D2" s="125" t="s">
        <v>241</v>
      </c>
      <c r="E2" s="126" t="s">
        <v>242</v>
      </c>
      <c r="F2" s="127" t="s">
        <v>243</v>
      </c>
    </row>
    <row r="3" spans="1:6">
      <c r="A3" s="182" t="s">
        <v>441</v>
      </c>
      <c r="B3" s="198" t="s">
        <v>244</v>
      </c>
      <c r="C3" s="128" t="s">
        <v>440</v>
      </c>
      <c r="D3" s="207" t="s">
        <v>177</v>
      </c>
      <c r="E3" s="126">
        <v>4</v>
      </c>
      <c r="F3" s="129">
        <v>11295955</v>
      </c>
    </row>
    <row r="4" spans="1:6">
      <c r="A4" s="182"/>
      <c r="B4" s="198"/>
      <c r="C4" s="182" t="s">
        <v>439</v>
      </c>
      <c r="D4" s="207"/>
      <c r="E4" s="126">
        <v>1</v>
      </c>
      <c r="F4" s="129">
        <v>8445705</v>
      </c>
    </row>
    <row r="5" spans="1:6">
      <c r="A5" s="182"/>
      <c r="B5" s="198"/>
      <c r="C5" s="205"/>
      <c r="D5" s="207"/>
      <c r="E5" s="126">
        <v>2</v>
      </c>
      <c r="F5" s="129">
        <v>19013305</v>
      </c>
    </row>
    <row r="6" spans="1:6">
      <c r="A6" s="182"/>
      <c r="B6" s="198"/>
      <c r="C6" s="205"/>
      <c r="D6" s="207"/>
      <c r="E6" s="126">
        <v>9</v>
      </c>
      <c r="F6" s="129">
        <v>6228282</v>
      </c>
    </row>
    <row r="7" spans="1:6">
      <c r="A7" s="182"/>
      <c r="B7" s="198"/>
      <c r="C7" s="205"/>
      <c r="D7" s="207"/>
      <c r="E7" s="126">
        <v>10</v>
      </c>
      <c r="F7" s="129">
        <v>8184011</v>
      </c>
    </row>
    <row r="8" spans="1:6">
      <c r="A8" s="182"/>
      <c r="B8" s="198"/>
      <c r="C8" s="205"/>
      <c r="D8" s="207"/>
      <c r="E8" s="126">
        <v>23</v>
      </c>
      <c r="F8" s="129">
        <v>3510943</v>
      </c>
    </row>
    <row r="9" spans="1:6">
      <c r="A9" s="182"/>
      <c r="B9" s="198"/>
      <c r="C9" s="205"/>
      <c r="D9" s="207"/>
      <c r="E9" s="126">
        <v>26</v>
      </c>
      <c r="F9" s="129">
        <v>1</v>
      </c>
    </row>
    <row r="10" spans="1:6">
      <c r="A10" s="182"/>
      <c r="B10" s="198"/>
      <c r="C10" s="130" t="s">
        <v>438</v>
      </c>
      <c r="D10" s="131" t="s">
        <v>181</v>
      </c>
      <c r="E10" s="126">
        <v>16</v>
      </c>
      <c r="F10" s="129">
        <v>25078162</v>
      </c>
    </row>
    <row r="11" spans="1:6">
      <c r="A11" s="182"/>
      <c r="B11" s="198"/>
      <c r="C11" s="182" t="s">
        <v>437</v>
      </c>
      <c r="D11" s="207" t="s">
        <v>182</v>
      </c>
      <c r="E11" s="126">
        <v>20</v>
      </c>
      <c r="F11" s="129">
        <v>21010346</v>
      </c>
    </row>
    <row r="12" spans="1:6">
      <c r="A12" s="182"/>
      <c r="B12" s="198"/>
      <c r="C12" s="205"/>
      <c r="D12" s="207"/>
      <c r="E12" s="126">
        <v>21</v>
      </c>
      <c r="F12" s="129">
        <v>3164140</v>
      </c>
    </row>
    <row r="13" spans="1:6">
      <c r="A13" s="182"/>
      <c r="B13" s="198"/>
      <c r="C13" s="128" t="s">
        <v>436</v>
      </c>
      <c r="D13" s="207"/>
      <c r="E13" s="126">
        <v>21</v>
      </c>
      <c r="F13" s="129">
        <v>45835000</v>
      </c>
    </row>
    <row r="14" spans="1:6">
      <c r="A14" s="186" t="s">
        <v>435</v>
      </c>
      <c r="B14" s="189" t="s">
        <v>247</v>
      </c>
      <c r="C14" s="182" t="s">
        <v>434</v>
      </c>
      <c r="D14" s="200" t="s">
        <v>194</v>
      </c>
      <c r="E14" s="126">
        <v>43</v>
      </c>
      <c r="F14" s="129">
        <v>831588</v>
      </c>
    </row>
    <row r="15" spans="1:6">
      <c r="A15" s="187"/>
      <c r="B15" s="190"/>
      <c r="C15" s="205"/>
      <c r="D15" s="202"/>
      <c r="E15" s="126">
        <v>44</v>
      </c>
      <c r="F15" s="129">
        <f>10721738</f>
        <v>10721738</v>
      </c>
    </row>
    <row r="16" spans="1:6">
      <c r="A16" s="187"/>
      <c r="B16" s="190"/>
      <c r="C16" s="205"/>
      <c r="D16" s="202"/>
      <c r="E16" s="126">
        <v>45</v>
      </c>
      <c r="F16" s="129">
        <v>40929944</v>
      </c>
    </row>
    <row r="17" spans="1:6">
      <c r="A17" s="187"/>
      <c r="B17" s="190"/>
      <c r="C17" s="182" t="s">
        <v>433</v>
      </c>
      <c r="D17" s="202"/>
      <c r="E17" s="126">
        <v>41</v>
      </c>
      <c r="F17" s="129">
        <f>8500000-1800000</f>
        <v>6700000</v>
      </c>
    </row>
    <row r="18" spans="1:6">
      <c r="A18" s="187"/>
      <c r="B18" s="190"/>
      <c r="C18" s="205"/>
      <c r="D18" s="202"/>
      <c r="E18" s="126">
        <v>42</v>
      </c>
      <c r="F18" s="129">
        <f>16985496</f>
        <v>16985496</v>
      </c>
    </row>
    <row r="19" spans="1:6">
      <c r="A19" s="187"/>
      <c r="B19" s="190"/>
      <c r="C19" s="182" t="s">
        <v>432</v>
      </c>
      <c r="D19" s="202"/>
      <c r="E19" s="126">
        <v>40</v>
      </c>
      <c r="F19" s="129">
        <v>8720914</v>
      </c>
    </row>
    <row r="20" spans="1:6">
      <c r="A20" s="187"/>
      <c r="B20" s="190"/>
      <c r="C20" s="205"/>
      <c r="D20" s="202"/>
      <c r="E20" s="126">
        <v>41</v>
      </c>
      <c r="F20" s="129">
        <v>8603340</v>
      </c>
    </row>
    <row r="21" spans="1:6">
      <c r="A21" s="187"/>
      <c r="B21" s="190"/>
      <c r="C21" s="205"/>
      <c r="D21" s="202"/>
      <c r="E21" s="126">
        <v>42</v>
      </c>
      <c r="F21" s="129">
        <v>22165496</v>
      </c>
    </row>
    <row r="22" spans="1:6">
      <c r="A22" s="187"/>
      <c r="B22" s="190"/>
      <c r="C22" s="205"/>
      <c r="D22" s="202"/>
      <c r="E22" s="126">
        <v>44</v>
      </c>
      <c r="F22" s="129">
        <v>8406397</v>
      </c>
    </row>
    <row r="23" spans="1:6">
      <c r="A23" s="187"/>
      <c r="B23" s="190"/>
      <c r="C23" s="205"/>
      <c r="D23" s="201"/>
      <c r="E23" s="126">
        <v>45</v>
      </c>
      <c r="F23" s="129">
        <f>31798947</f>
        <v>31798947</v>
      </c>
    </row>
    <row r="24" spans="1:6">
      <c r="A24" s="187"/>
      <c r="B24" s="190"/>
      <c r="C24" s="182" t="s">
        <v>431</v>
      </c>
      <c r="D24" s="200" t="s">
        <v>195</v>
      </c>
      <c r="E24" s="126">
        <v>48</v>
      </c>
      <c r="F24" s="129">
        <v>2600000</v>
      </c>
    </row>
    <row r="25" spans="1:6">
      <c r="A25" s="187"/>
      <c r="B25" s="190"/>
      <c r="C25" s="205"/>
      <c r="D25" s="202"/>
      <c r="E25" s="126">
        <v>49</v>
      </c>
      <c r="F25" s="129">
        <f>3007680-3000000</f>
        <v>7680</v>
      </c>
    </row>
    <row r="26" spans="1:6">
      <c r="A26" s="187"/>
      <c r="B26" s="190"/>
      <c r="C26" s="205"/>
      <c r="D26" s="202"/>
      <c r="E26" s="126">
        <v>52</v>
      </c>
      <c r="F26" s="129">
        <v>703571</v>
      </c>
    </row>
    <row r="27" spans="1:6">
      <c r="A27" s="187"/>
      <c r="B27" s="190"/>
      <c r="C27" s="182" t="s">
        <v>430</v>
      </c>
      <c r="D27" s="202"/>
      <c r="E27" s="126">
        <v>48</v>
      </c>
      <c r="F27" s="129">
        <f>20951208</f>
        <v>20951208</v>
      </c>
    </row>
    <row r="28" spans="1:6">
      <c r="A28" s="187"/>
      <c r="B28" s="190"/>
      <c r="C28" s="182"/>
      <c r="D28" s="202"/>
      <c r="E28" s="133">
        <v>49</v>
      </c>
      <c r="F28" s="123">
        <v>1000000</v>
      </c>
    </row>
    <row r="29" spans="1:6">
      <c r="A29" s="187"/>
      <c r="B29" s="190"/>
      <c r="C29" s="205"/>
      <c r="D29" s="202"/>
      <c r="E29" s="126">
        <v>52</v>
      </c>
      <c r="F29" s="129">
        <v>10368377</v>
      </c>
    </row>
    <row r="30" spans="1:6">
      <c r="A30" s="187"/>
      <c r="B30" s="190"/>
      <c r="C30" s="128" t="s">
        <v>429</v>
      </c>
      <c r="D30" s="131" t="s">
        <v>197</v>
      </c>
      <c r="E30" s="126">
        <v>65</v>
      </c>
      <c r="F30" s="129">
        <v>72660695</v>
      </c>
    </row>
    <row r="31" spans="1:6">
      <c r="A31" s="187"/>
      <c r="B31" s="190"/>
      <c r="C31" s="182" t="s">
        <v>428</v>
      </c>
      <c r="D31" s="200" t="s">
        <v>199</v>
      </c>
      <c r="E31" s="126">
        <v>78</v>
      </c>
      <c r="F31" s="129">
        <v>5000000</v>
      </c>
    </row>
    <row r="32" spans="1:6">
      <c r="A32" s="187"/>
      <c r="B32" s="190"/>
      <c r="C32" s="205"/>
      <c r="D32" s="201"/>
      <c r="E32" s="126">
        <v>79</v>
      </c>
      <c r="F32" s="129">
        <v>19732703</v>
      </c>
    </row>
    <row r="33" spans="1:6">
      <c r="A33" s="187"/>
      <c r="B33" s="190"/>
      <c r="C33" s="186" t="s">
        <v>427</v>
      </c>
      <c r="D33" s="200" t="s">
        <v>194</v>
      </c>
      <c r="E33" s="126">
        <v>43</v>
      </c>
      <c r="F33" s="129">
        <v>3326349</v>
      </c>
    </row>
    <row r="34" spans="1:6">
      <c r="A34" s="187"/>
      <c r="B34" s="190"/>
      <c r="C34" s="187"/>
      <c r="D34" s="202"/>
      <c r="E34" s="126">
        <v>44</v>
      </c>
      <c r="F34" s="129">
        <v>2409893</v>
      </c>
    </row>
    <row r="35" spans="1:6">
      <c r="A35" s="187"/>
      <c r="B35" s="190"/>
      <c r="C35" s="188"/>
      <c r="D35" s="201"/>
      <c r="E35" s="126">
        <v>45</v>
      </c>
      <c r="F35" s="129">
        <v>9636576</v>
      </c>
    </row>
    <row r="36" spans="1:6">
      <c r="A36" s="187"/>
      <c r="B36" s="190"/>
      <c r="C36" s="186" t="s">
        <v>426</v>
      </c>
      <c r="D36" s="200" t="s">
        <v>197</v>
      </c>
      <c r="E36" s="126" t="s">
        <v>456</v>
      </c>
      <c r="F36" s="129">
        <v>10000000</v>
      </c>
    </row>
    <row r="37" spans="1:6">
      <c r="A37" s="187"/>
      <c r="B37" s="190"/>
      <c r="C37" s="187"/>
      <c r="D37" s="202"/>
      <c r="E37" s="126">
        <v>65</v>
      </c>
      <c r="F37" s="129">
        <v>1288618</v>
      </c>
    </row>
    <row r="38" spans="1:6">
      <c r="A38" s="187"/>
      <c r="B38" s="190"/>
      <c r="C38" s="134" t="s">
        <v>425</v>
      </c>
      <c r="D38" s="132" t="s">
        <v>199</v>
      </c>
      <c r="E38" s="135">
        <v>79</v>
      </c>
      <c r="F38" s="136">
        <v>31392218</v>
      </c>
    </row>
    <row r="39" spans="1:6">
      <c r="A39" s="187"/>
      <c r="B39" s="190"/>
      <c r="C39" s="203" t="s">
        <v>457</v>
      </c>
      <c r="D39" s="200" t="s">
        <v>196</v>
      </c>
      <c r="E39" s="135" t="s">
        <v>458</v>
      </c>
      <c r="F39" s="136">
        <v>5000000</v>
      </c>
    </row>
    <row r="40" spans="1:6">
      <c r="A40" s="188"/>
      <c r="B40" s="191"/>
      <c r="C40" s="204"/>
      <c r="D40" s="201"/>
      <c r="E40" s="135" t="s">
        <v>459</v>
      </c>
      <c r="F40" s="136">
        <v>5000000</v>
      </c>
    </row>
    <row r="41" spans="1:6">
      <c r="A41" s="183" t="s">
        <v>467</v>
      </c>
      <c r="B41" s="189" t="s">
        <v>446</v>
      </c>
      <c r="C41" s="186" t="s">
        <v>468</v>
      </c>
      <c r="D41" s="178" t="s">
        <v>200</v>
      </c>
      <c r="E41" s="126">
        <v>81</v>
      </c>
      <c r="F41" s="129">
        <v>18311587</v>
      </c>
    </row>
    <row r="42" spans="1:6">
      <c r="A42" s="184"/>
      <c r="B42" s="190"/>
      <c r="C42" s="187"/>
      <c r="D42" s="179"/>
      <c r="E42" s="126">
        <v>82</v>
      </c>
      <c r="F42" s="129">
        <v>12551587</v>
      </c>
    </row>
    <row r="43" spans="1:6">
      <c r="A43" s="184"/>
      <c r="B43" s="190"/>
      <c r="C43" s="187"/>
      <c r="D43" s="179"/>
      <c r="E43" s="126">
        <v>83</v>
      </c>
      <c r="F43" s="129">
        <v>22068782</v>
      </c>
    </row>
    <row r="44" spans="1:6">
      <c r="A44" s="184"/>
      <c r="B44" s="190"/>
      <c r="C44" s="188"/>
      <c r="D44" s="179"/>
      <c r="E44" s="126">
        <v>86</v>
      </c>
      <c r="F44" s="129">
        <v>2240000</v>
      </c>
    </row>
    <row r="45" spans="1:6">
      <c r="A45" s="184"/>
      <c r="B45" s="190"/>
      <c r="C45" s="183" t="s">
        <v>469</v>
      </c>
      <c r="D45" s="179"/>
      <c r="E45" s="126">
        <v>81</v>
      </c>
      <c r="F45" s="129">
        <v>4577897</v>
      </c>
    </row>
    <row r="46" spans="1:6">
      <c r="A46" s="184"/>
      <c r="B46" s="190"/>
      <c r="C46" s="184"/>
      <c r="D46" s="179"/>
      <c r="E46" s="126">
        <v>82</v>
      </c>
      <c r="F46" s="129">
        <v>3137897</v>
      </c>
    </row>
    <row r="47" spans="1:6">
      <c r="A47" s="184"/>
      <c r="B47" s="190"/>
      <c r="C47" s="184"/>
      <c r="D47" s="179"/>
      <c r="E47" s="126">
        <v>83</v>
      </c>
      <c r="F47" s="129">
        <v>5517195</v>
      </c>
    </row>
    <row r="48" spans="1:6">
      <c r="A48" s="185"/>
      <c r="B48" s="191"/>
      <c r="C48" s="185"/>
      <c r="D48" s="180"/>
      <c r="E48" s="126">
        <v>86</v>
      </c>
      <c r="F48" s="129">
        <v>560000</v>
      </c>
    </row>
    <row r="49" spans="1:6">
      <c r="A49" s="183" t="s">
        <v>424</v>
      </c>
      <c r="B49" s="189" t="s">
        <v>423</v>
      </c>
      <c r="C49" s="183" t="s">
        <v>422</v>
      </c>
      <c r="D49" s="178" t="s">
        <v>201</v>
      </c>
      <c r="E49" s="126">
        <v>83</v>
      </c>
      <c r="F49" s="129">
        <v>10000000</v>
      </c>
    </row>
    <row r="50" spans="1:6">
      <c r="A50" s="184"/>
      <c r="B50" s="190"/>
      <c r="C50" s="184"/>
      <c r="D50" s="179"/>
      <c r="E50" s="126">
        <v>90</v>
      </c>
      <c r="F50" s="129">
        <v>63204067</v>
      </c>
    </row>
    <row r="51" spans="1:6">
      <c r="A51" s="184"/>
      <c r="B51" s="190"/>
      <c r="C51" s="184"/>
      <c r="D51" s="179"/>
      <c r="E51" s="126">
        <v>93</v>
      </c>
      <c r="F51" s="129">
        <v>89938756</v>
      </c>
    </row>
    <row r="52" spans="1:6">
      <c r="A52" s="184"/>
      <c r="B52" s="190"/>
      <c r="C52" s="184"/>
      <c r="D52" s="179"/>
      <c r="E52" s="126">
        <v>98</v>
      </c>
      <c r="F52" s="129">
        <v>121142822</v>
      </c>
    </row>
    <row r="53" spans="1:6">
      <c r="A53" s="185"/>
      <c r="B53" s="191"/>
      <c r="C53" s="185"/>
      <c r="D53" s="180"/>
      <c r="E53" s="126" t="s">
        <v>421</v>
      </c>
      <c r="F53" s="129">
        <v>38000000</v>
      </c>
    </row>
    <row r="54" spans="1:6">
      <c r="A54" s="181" t="s">
        <v>420</v>
      </c>
      <c r="B54" s="198" t="s">
        <v>419</v>
      </c>
      <c r="C54" s="181" t="s">
        <v>418</v>
      </c>
      <c r="D54" s="195" t="s">
        <v>207</v>
      </c>
      <c r="E54" s="126" t="s">
        <v>417</v>
      </c>
      <c r="F54" s="129">
        <v>30000000</v>
      </c>
    </row>
    <row r="55" spans="1:6">
      <c r="A55" s="181"/>
      <c r="B55" s="198"/>
      <c r="C55" s="181"/>
      <c r="D55" s="195"/>
      <c r="E55" s="126" t="s">
        <v>416</v>
      </c>
      <c r="F55" s="129">
        <v>40110607</v>
      </c>
    </row>
    <row r="56" spans="1:6">
      <c r="A56" s="181"/>
      <c r="B56" s="198"/>
      <c r="C56" s="181" t="s">
        <v>415</v>
      </c>
      <c r="D56" s="195" t="s">
        <v>208</v>
      </c>
      <c r="E56" s="126">
        <v>83</v>
      </c>
      <c r="F56" s="129">
        <v>29187865</v>
      </c>
    </row>
    <row r="57" spans="1:6">
      <c r="A57" s="181"/>
      <c r="B57" s="198"/>
      <c r="C57" s="181"/>
      <c r="D57" s="195"/>
      <c r="E57" s="126" t="s">
        <v>411</v>
      </c>
      <c r="F57" s="129">
        <v>5307723</v>
      </c>
    </row>
    <row r="58" spans="1:6">
      <c r="A58" s="181"/>
      <c r="B58" s="198"/>
      <c r="C58" s="181"/>
      <c r="D58" s="195"/>
      <c r="E58" s="126">
        <v>166</v>
      </c>
      <c r="F58" s="129">
        <v>17692410</v>
      </c>
    </row>
    <row r="59" spans="1:6">
      <c r="A59" s="183" t="s">
        <v>414</v>
      </c>
      <c r="B59" s="189" t="s">
        <v>413</v>
      </c>
      <c r="C59" s="183" t="s">
        <v>412</v>
      </c>
      <c r="D59" s="178" t="s">
        <v>223</v>
      </c>
      <c r="E59" s="126">
        <v>16</v>
      </c>
      <c r="F59" s="129">
        <v>448045</v>
      </c>
    </row>
    <row r="60" spans="1:6">
      <c r="A60" s="184"/>
      <c r="B60" s="190"/>
      <c r="C60" s="184"/>
      <c r="D60" s="179"/>
      <c r="E60" s="126">
        <v>41</v>
      </c>
      <c r="F60" s="129">
        <v>896091</v>
      </c>
    </row>
    <row r="61" spans="1:6">
      <c r="A61" s="184"/>
      <c r="B61" s="190"/>
      <c r="C61" s="184"/>
      <c r="D61" s="179"/>
      <c r="E61" s="126">
        <v>42</v>
      </c>
      <c r="F61" s="129">
        <v>896091</v>
      </c>
    </row>
    <row r="62" spans="1:6">
      <c r="A62" s="184"/>
      <c r="B62" s="190"/>
      <c r="C62" s="184"/>
      <c r="D62" s="179"/>
      <c r="E62" s="126">
        <v>44</v>
      </c>
      <c r="F62" s="129">
        <v>896091</v>
      </c>
    </row>
    <row r="63" spans="1:6">
      <c r="A63" s="184"/>
      <c r="B63" s="190"/>
      <c r="C63" s="184"/>
      <c r="D63" s="179"/>
      <c r="E63" s="126">
        <v>45</v>
      </c>
      <c r="F63" s="129">
        <v>896091</v>
      </c>
    </row>
    <row r="64" spans="1:6">
      <c r="A64" s="184"/>
      <c r="B64" s="190"/>
      <c r="C64" s="184"/>
      <c r="D64" s="179"/>
      <c r="E64" s="126">
        <v>121</v>
      </c>
      <c r="F64" s="129">
        <v>3584362</v>
      </c>
    </row>
    <row r="65" spans="1:6">
      <c r="A65" s="184"/>
      <c r="B65" s="190"/>
      <c r="C65" s="184"/>
      <c r="D65" s="179"/>
      <c r="E65" s="126">
        <v>122</v>
      </c>
      <c r="F65" s="129">
        <v>1344136</v>
      </c>
    </row>
    <row r="66" spans="1:6">
      <c r="A66" s="184"/>
      <c r="B66" s="190"/>
      <c r="C66" s="184"/>
      <c r="D66" s="179"/>
      <c r="E66" s="126" t="s">
        <v>411</v>
      </c>
      <c r="F66" s="129">
        <v>17977847</v>
      </c>
    </row>
    <row r="67" spans="1:6">
      <c r="A67" s="184"/>
      <c r="B67" s="190"/>
      <c r="C67" s="184"/>
      <c r="D67" s="179"/>
      <c r="E67" s="126" t="s">
        <v>410</v>
      </c>
      <c r="F67" s="129">
        <v>26966766</v>
      </c>
    </row>
    <row r="68" spans="1:6">
      <c r="A68" s="184"/>
      <c r="B68" s="190"/>
      <c r="C68" s="184"/>
      <c r="D68" s="179"/>
      <c r="E68" s="126" t="s">
        <v>409</v>
      </c>
      <c r="F68" s="129">
        <v>31503251</v>
      </c>
    </row>
    <row r="69" spans="1:6">
      <c r="A69" s="184"/>
      <c r="B69" s="190"/>
      <c r="C69" s="184"/>
      <c r="D69" s="179"/>
      <c r="E69" s="126">
        <v>169</v>
      </c>
      <c r="F69" s="129">
        <v>896090</v>
      </c>
    </row>
    <row r="70" spans="1:6">
      <c r="A70" s="184"/>
      <c r="B70" s="190"/>
      <c r="C70" s="185"/>
      <c r="D70" s="179"/>
      <c r="E70" s="126">
        <v>170</v>
      </c>
      <c r="F70" s="129">
        <v>3584362</v>
      </c>
    </row>
    <row r="71" spans="1:6">
      <c r="A71" s="184"/>
      <c r="B71" s="190"/>
      <c r="C71" s="183" t="s">
        <v>408</v>
      </c>
      <c r="D71" s="179"/>
      <c r="E71" s="126">
        <v>16</v>
      </c>
      <c r="F71" s="129">
        <v>51955</v>
      </c>
    </row>
    <row r="72" spans="1:6">
      <c r="A72" s="184"/>
      <c r="B72" s="190"/>
      <c r="C72" s="184"/>
      <c r="D72" s="179"/>
      <c r="E72" s="126">
        <v>41</v>
      </c>
      <c r="F72" s="129">
        <v>103909</v>
      </c>
    </row>
    <row r="73" spans="1:6">
      <c r="A73" s="184"/>
      <c r="B73" s="190"/>
      <c r="C73" s="184"/>
      <c r="D73" s="179"/>
      <c r="E73" s="126">
        <v>42</v>
      </c>
      <c r="F73" s="129">
        <v>103909</v>
      </c>
    </row>
    <row r="74" spans="1:6">
      <c r="A74" s="184"/>
      <c r="B74" s="190"/>
      <c r="C74" s="184"/>
      <c r="D74" s="179"/>
      <c r="E74" s="126">
        <v>44</v>
      </c>
      <c r="F74" s="129">
        <v>103909</v>
      </c>
    </row>
    <row r="75" spans="1:6">
      <c r="A75" s="184"/>
      <c r="B75" s="190"/>
      <c r="C75" s="184"/>
      <c r="D75" s="179"/>
      <c r="E75" s="126">
        <v>45</v>
      </c>
      <c r="F75" s="129">
        <v>103909</v>
      </c>
    </row>
    <row r="76" spans="1:6">
      <c r="A76" s="184"/>
      <c r="B76" s="190"/>
      <c r="C76" s="184"/>
      <c r="D76" s="179"/>
      <c r="E76" s="126">
        <v>121</v>
      </c>
      <c r="F76" s="129">
        <v>415638</v>
      </c>
    </row>
    <row r="77" spans="1:6">
      <c r="A77" s="184"/>
      <c r="B77" s="190"/>
      <c r="C77" s="184"/>
      <c r="D77" s="179"/>
      <c r="E77" s="126">
        <v>122</v>
      </c>
      <c r="F77" s="129">
        <v>155864</v>
      </c>
    </row>
    <row r="78" spans="1:6">
      <c r="A78" s="184"/>
      <c r="B78" s="190"/>
      <c r="C78" s="184"/>
      <c r="D78" s="179"/>
      <c r="E78" s="126">
        <v>165</v>
      </c>
      <c r="F78" s="129">
        <v>2084683</v>
      </c>
    </row>
    <row r="79" spans="1:6">
      <c r="A79" s="184"/>
      <c r="B79" s="190"/>
      <c r="C79" s="184"/>
      <c r="D79" s="179"/>
      <c r="E79" s="126">
        <v>166</v>
      </c>
      <c r="F79" s="129">
        <v>3127028</v>
      </c>
    </row>
    <row r="80" spans="1:6">
      <c r="A80" s="184"/>
      <c r="B80" s="190"/>
      <c r="C80" s="184"/>
      <c r="D80" s="179"/>
      <c r="E80" s="126">
        <v>168</v>
      </c>
      <c r="F80" s="129">
        <v>3653073</v>
      </c>
    </row>
    <row r="81" spans="1:6">
      <c r="A81" s="184"/>
      <c r="B81" s="190"/>
      <c r="C81" s="184"/>
      <c r="D81" s="179"/>
      <c r="E81" s="126">
        <v>169</v>
      </c>
      <c r="F81" s="129">
        <v>103910</v>
      </c>
    </row>
    <row r="82" spans="1:6">
      <c r="A82" s="185"/>
      <c r="B82" s="191"/>
      <c r="C82" s="185"/>
      <c r="D82" s="180"/>
      <c r="E82" s="126">
        <v>170</v>
      </c>
      <c r="F82" s="129">
        <v>415638</v>
      </c>
    </row>
    <row r="83" spans="1:6">
      <c r="A83" s="181" t="s">
        <v>407</v>
      </c>
      <c r="B83" s="198" t="s">
        <v>406</v>
      </c>
      <c r="C83" s="181" t="s">
        <v>405</v>
      </c>
      <c r="D83" s="199" t="s">
        <v>216</v>
      </c>
      <c r="E83" s="126">
        <v>134</v>
      </c>
      <c r="F83" s="129">
        <v>34052059</v>
      </c>
    </row>
    <row r="84" spans="1:6">
      <c r="A84" s="181"/>
      <c r="B84" s="198"/>
      <c r="C84" s="181"/>
      <c r="D84" s="199"/>
      <c r="E84" s="126">
        <v>136</v>
      </c>
      <c r="F84" s="129">
        <v>24156877</v>
      </c>
    </row>
    <row r="85" spans="1:6">
      <c r="A85" s="181"/>
      <c r="B85" s="198"/>
      <c r="C85" s="181"/>
      <c r="D85" s="199"/>
      <c r="E85" s="126">
        <v>137</v>
      </c>
      <c r="F85" s="129">
        <v>33375258</v>
      </c>
    </row>
    <row r="86" spans="1:6" ht="15">
      <c r="A86" s="181"/>
      <c r="B86" s="198"/>
      <c r="C86" s="141" t="s">
        <v>404</v>
      </c>
      <c r="D86" s="142" t="s">
        <v>403</v>
      </c>
      <c r="E86" s="126">
        <v>139</v>
      </c>
      <c r="F86" s="129">
        <v>1330000</v>
      </c>
    </row>
    <row r="87" spans="1:6" ht="15">
      <c r="A87" s="181"/>
      <c r="B87" s="198"/>
      <c r="C87" s="141" t="s">
        <v>402</v>
      </c>
      <c r="D87" s="140" t="s">
        <v>401</v>
      </c>
      <c r="E87" s="126">
        <v>152</v>
      </c>
      <c r="F87" s="129">
        <v>5000000</v>
      </c>
    </row>
    <row r="88" spans="1:6">
      <c r="A88" s="181"/>
      <c r="B88" s="198"/>
      <c r="C88" s="137" t="s">
        <v>400</v>
      </c>
      <c r="D88" s="143" t="s">
        <v>217</v>
      </c>
      <c r="E88" s="126">
        <v>146</v>
      </c>
      <c r="F88" s="129">
        <v>37735356</v>
      </c>
    </row>
    <row r="89" spans="1:6">
      <c r="A89" s="181"/>
      <c r="B89" s="198"/>
      <c r="C89" s="183" t="s">
        <v>399</v>
      </c>
      <c r="D89" s="192" t="s">
        <v>220</v>
      </c>
      <c r="E89" s="126">
        <v>136</v>
      </c>
      <c r="F89" s="129">
        <v>17000000</v>
      </c>
    </row>
    <row r="90" spans="1:6">
      <c r="A90" s="181"/>
      <c r="B90" s="198"/>
      <c r="C90" s="184"/>
      <c r="D90" s="193"/>
      <c r="E90" s="126">
        <v>163</v>
      </c>
      <c r="F90" s="129">
        <v>25389819</v>
      </c>
    </row>
    <row r="91" spans="1:6">
      <c r="A91" s="181"/>
      <c r="B91" s="198"/>
      <c r="C91" s="184"/>
      <c r="D91" s="193"/>
      <c r="E91" s="126">
        <v>154</v>
      </c>
      <c r="F91" s="129">
        <v>3000000</v>
      </c>
    </row>
    <row r="92" spans="1:6">
      <c r="A92" s="181"/>
      <c r="B92" s="198"/>
      <c r="C92" s="185"/>
      <c r="D92" s="194"/>
      <c r="E92" s="126">
        <v>138</v>
      </c>
      <c r="F92" s="129">
        <v>12271921</v>
      </c>
    </row>
    <row r="93" spans="1:6">
      <c r="A93" s="181"/>
      <c r="B93" s="198"/>
      <c r="C93" s="138" t="s">
        <v>398</v>
      </c>
      <c r="D93" s="142" t="s">
        <v>205</v>
      </c>
      <c r="E93" s="126">
        <v>157</v>
      </c>
      <c r="F93" s="129">
        <v>21373067</v>
      </c>
    </row>
    <row r="94" spans="1:6">
      <c r="A94" s="181"/>
      <c r="B94" s="198"/>
      <c r="C94" s="183" t="s">
        <v>397</v>
      </c>
      <c r="D94" s="192" t="s">
        <v>221</v>
      </c>
      <c r="E94" s="126">
        <v>158</v>
      </c>
      <c r="F94" s="129">
        <v>57597651</v>
      </c>
    </row>
    <row r="95" spans="1:6">
      <c r="A95" s="181"/>
      <c r="B95" s="198"/>
      <c r="C95" s="185"/>
      <c r="D95" s="194"/>
      <c r="E95" s="126">
        <v>160</v>
      </c>
      <c r="F95" s="129">
        <v>2387500</v>
      </c>
    </row>
    <row r="96" spans="1:6" ht="15">
      <c r="A96" s="181"/>
      <c r="B96" s="198"/>
      <c r="C96" s="141" t="s">
        <v>396</v>
      </c>
      <c r="D96" s="142" t="s">
        <v>222</v>
      </c>
      <c r="E96" s="126">
        <v>158</v>
      </c>
      <c r="F96" s="129">
        <v>15731577</v>
      </c>
    </row>
    <row r="97" spans="1:6">
      <c r="A97" s="181"/>
      <c r="B97" s="198"/>
      <c r="C97" s="183" t="s">
        <v>395</v>
      </c>
      <c r="D97" s="192" t="s">
        <v>216</v>
      </c>
      <c r="E97" s="126">
        <v>134</v>
      </c>
      <c r="F97" s="129">
        <v>14095000</v>
      </c>
    </row>
    <row r="98" spans="1:6">
      <c r="A98" s="181"/>
      <c r="B98" s="198"/>
      <c r="C98" s="184"/>
      <c r="D98" s="193"/>
      <c r="E98" s="126">
        <v>136</v>
      </c>
      <c r="F98" s="129">
        <v>2343123</v>
      </c>
    </row>
    <row r="99" spans="1:6">
      <c r="A99" s="181"/>
      <c r="B99" s="198"/>
      <c r="C99" s="185"/>
      <c r="D99" s="194"/>
      <c r="E99" s="126">
        <v>142</v>
      </c>
      <c r="F99" s="129">
        <v>3000000</v>
      </c>
    </row>
    <row r="100" spans="1:6" ht="15">
      <c r="A100" s="181"/>
      <c r="B100" s="198"/>
      <c r="C100" s="141" t="s">
        <v>394</v>
      </c>
      <c r="D100" s="142" t="s">
        <v>221</v>
      </c>
      <c r="E100" s="126">
        <v>158</v>
      </c>
      <c r="F100" s="129">
        <v>17720963</v>
      </c>
    </row>
    <row r="101" spans="1:6">
      <c r="A101" s="183" t="s">
        <v>393</v>
      </c>
      <c r="B101" s="189" t="s">
        <v>392</v>
      </c>
      <c r="C101" s="183" t="s">
        <v>391</v>
      </c>
      <c r="D101" s="195" t="s">
        <v>218</v>
      </c>
      <c r="E101" s="126">
        <v>148</v>
      </c>
      <c r="F101" s="129">
        <v>9671276</v>
      </c>
    </row>
    <row r="102" spans="1:6">
      <c r="A102" s="184"/>
      <c r="B102" s="190"/>
      <c r="C102" s="185"/>
      <c r="D102" s="195"/>
      <c r="E102" s="126">
        <v>149</v>
      </c>
      <c r="F102" s="129">
        <v>66899235</v>
      </c>
    </row>
    <row r="103" spans="1:6" ht="15">
      <c r="A103" s="184"/>
      <c r="B103" s="190"/>
      <c r="C103" s="141" t="s">
        <v>390</v>
      </c>
      <c r="D103" s="139" t="s">
        <v>219</v>
      </c>
      <c r="E103" s="126">
        <v>151</v>
      </c>
      <c r="F103" s="129">
        <v>16556728</v>
      </c>
    </row>
    <row r="104" spans="1:6">
      <c r="A104" s="184"/>
      <c r="B104" s="190"/>
      <c r="C104" s="196" t="s">
        <v>389</v>
      </c>
      <c r="D104" s="195" t="s">
        <v>218</v>
      </c>
      <c r="E104" s="126">
        <v>148</v>
      </c>
      <c r="F104" s="129">
        <v>10770795</v>
      </c>
    </row>
    <row r="105" spans="1:6">
      <c r="A105" s="185"/>
      <c r="B105" s="191"/>
      <c r="C105" s="197"/>
      <c r="D105" s="195"/>
      <c r="E105" s="126">
        <v>149</v>
      </c>
      <c r="F105" s="129">
        <v>8848299</v>
      </c>
    </row>
    <row r="106" spans="1:6">
      <c r="A106" s="183" t="s">
        <v>388</v>
      </c>
      <c r="B106" s="189" t="s">
        <v>387</v>
      </c>
      <c r="C106" s="181" t="s">
        <v>386</v>
      </c>
      <c r="D106" s="178" t="s">
        <v>385</v>
      </c>
      <c r="E106" s="124">
        <v>146</v>
      </c>
      <c r="F106" s="123">
        <v>4000000</v>
      </c>
    </row>
    <row r="107" spans="1:6">
      <c r="A107" s="184"/>
      <c r="B107" s="190"/>
      <c r="C107" s="181"/>
      <c r="D107" s="179"/>
      <c r="E107" s="124">
        <v>140</v>
      </c>
      <c r="F107" s="123">
        <v>2000000</v>
      </c>
    </row>
    <row r="108" spans="1:6">
      <c r="A108" s="184"/>
      <c r="B108" s="190"/>
      <c r="C108" s="181"/>
      <c r="D108" s="179"/>
      <c r="E108" s="124">
        <v>158</v>
      </c>
      <c r="F108" s="123">
        <v>23250000</v>
      </c>
    </row>
    <row r="109" spans="1:6">
      <c r="A109" s="184"/>
      <c r="B109" s="190"/>
      <c r="C109" s="181"/>
      <c r="D109" s="179"/>
      <c r="E109" s="124">
        <v>163</v>
      </c>
      <c r="F109" s="123">
        <v>14000000</v>
      </c>
    </row>
    <row r="110" spans="1:6">
      <c r="A110" s="184"/>
      <c r="B110" s="190"/>
      <c r="C110" s="183" t="s">
        <v>384</v>
      </c>
      <c r="D110" s="179"/>
      <c r="E110" s="124">
        <v>121</v>
      </c>
      <c r="F110" s="123">
        <v>1000000</v>
      </c>
    </row>
    <row r="111" spans="1:6">
      <c r="A111" s="184"/>
      <c r="B111" s="190"/>
      <c r="C111" s="184"/>
      <c r="D111" s="179"/>
      <c r="E111" s="124">
        <v>122</v>
      </c>
      <c r="F111" s="123">
        <v>5000000</v>
      </c>
    </row>
    <row r="112" spans="1:6">
      <c r="A112" s="184"/>
      <c r="B112" s="190"/>
      <c r="C112" s="184"/>
      <c r="D112" s="179"/>
      <c r="E112" s="124">
        <v>123</v>
      </c>
      <c r="F112" s="123">
        <v>4000000</v>
      </c>
    </row>
    <row r="113" spans="1:6">
      <c r="A113" s="184"/>
      <c r="B113" s="190"/>
      <c r="C113" s="184"/>
      <c r="D113" s="179"/>
      <c r="E113" s="124">
        <v>124</v>
      </c>
      <c r="F113" s="123">
        <v>5000000</v>
      </c>
    </row>
    <row r="114" spans="1:6">
      <c r="A114" s="184"/>
      <c r="B114" s="190"/>
      <c r="C114" s="184"/>
      <c r="D114" s="179"/>
      <c r="E114" s="124">
        <v>127</v>
      </c>
      <c r="F114" s="123">
        <f>18750000-7000000</f>
        <v>11750000</v>
      </c>
    </row>
    <row r="115" spans="1:6">
      <c r="A115" s="184"/>
      <c r="B115" s="190"/>
      <c r="C115" s="181" t="s">
        <v>383</v>
      </c>
      <c r="D115" s="179"/>
      <c r="E115" s="124" t="s">
        <v>466</v>
      </c>
      <c r="F115" s="123">
        <v>1</v>
      </c>
    </row>
    <row r="116" spans="1:6">
      <c r="A116" s="184"/>
      <c r="B116" s="190"/>
      <c r="C116" s="181"/>
      <c r="D116" s="179"/>
      <c r="E116" s="124">
        <v>149</v>
      </c>
      <c r="F116" s="123">
        <v>14999999</v>
      </c>
    </row>
    <row r="117" spans="1:6">
      <c r="A117" s="184"/>
      <c r="B117" s="190"/>
      <c r="C117" s="181" t="s">
        <v>382</v>
      </c>
      <c r="D117" s="179"/>
      <c r="E117" s="124" t="s">
        <v>245</v>
      </c>
      <c r="F117" s="123">
        <v>5000000</v>
      </c>
    </row>
    <row r="118" spans="1:6">
      <c r="A118" s="184"/>
      <c r="B118" s="190"/>
      <c r="C118" s="181"/>
      <c r="D118" s="179"/>
      <c r="E118" s="124" t="s">
        <v>253</v>
      </c>
      <c r="F118" s="123">
        <f>15000000-7500000</f>
        <v>7500000</v>
      </c>
    </row>
    <row r="119" spans="1:6">
      <c r="A119" s="184"/>
      <c r="B119" s="190"/>
      <c r="C119" s="181"/>
      <c r="D119" s="179"/>
      <c r="E119" s="124" t="s">
        <v>252</v>
      </c>
      <c r="F119" s="123">
        <v>45000000</v>
      </c>
    </row>
    <row r="120" spans="1:6">
      <c r="A120" s="184"/>
      <c r="B120" s="190"/>
      <c r="C120" s="181"/>
      <c r="D120" s="179"/>
      <c r="E120" s="124" t="s">
        <v>246</v>
      </c>
      <c r="F120" s="123">
        <v>12000000</v>
      </c>
    </row>
    <row r="121" spans="1:6">
      <c r="A121" s="184"/>
      <c r="B121" s="190"/>
      <c r="C121" s="181"/>
      <c r="D121" s="179"/>
      <c r="E121" s="124" t="s">
        <v>254</v>
      </c>
      <c r="F121" s="123">
        <v>30145366</v>
      </c>
    </row>
    <row r="122" spans="1:6">
      <c r="A122" s="184"/>
      <c r="B122" s="190"/>
      <c r="C122" s="181"/>
      <c r="D122" s="179"/>
      <c r="E122" s="124" t="s">
        <v>381</v>
      </c>
      <c r="F122" s="123">
        <v>15000000</v>
      </c>
    </row>
    <row r="123" spans="1:6">
      <c r="A123" s="184"/>
      <c r="B123" s="190"/>
      <c r="C123" s="181"/>
      <c r="D123" s="179"/>
      <c r="E123" s="124" t="s">
        <v>380</v>
      </c>
      <c r="F123" s="123">
        <v>5000000</v>
      </c>
    </row>
    <row r="124" spans="1:6">
      <c r="A124" s="184"/>
      <c r="B124" s="190"/>
      <c r="C124" s="181"/>
      <c r="D124" s="179"/>
      <c r="E124" s="124" t="s">
        <v>250</v>
      </c>
      <c r="F124" s="123">
        <v>5000000</v>
      </c>
    </row>
    <row r="125" spans="1:6">
      <c r="A125" s="184"/>
      <c r="B125" s="190"/>
      <c r="C125" s="183" t="s">
        <v>379</v>
      </c>
      <c r="D125" s="179"/>
      <c r="E125" s="124" t="s">
        <v>255</v>
      </c>
      <c r="F125" s="123">
        <v>700000</v>
      </c>
    </row>
    <row r="126" spans="1:6">
      <c r="A126" s="184"/>
      <c r="B126" s="190"/>
      <c r="C126" s="184"/>
      <c r="D126" s="179"/>
      <c r="E126" s="124" t="s">
        <v>256</v>
      </c>
      <c r="F126" s="123">
        <v>31636977</v>
      </c>
    </row>
    <row r="127" spans="1:6">
      <c r="A127" s="184"/>
      <c r="B127" s="190"/>
      <c r="C127" s="184"/>
      <c r="D127" s="179"/>
      <c r="E127" s="124" t="s">
        <v>258</v>
      </c>
      <c r="F127" s="123">
        <v>15000000</v>
      </c>
    </row>
    <row r="128" spans="1:6">
      <c r="A128" s="184"/>
      <c r="B128" s="190"/>
      <c r="C128" s="184"/>
      <c r="D128" s="179"/>
      <c r="E128" s="124" t="s">
        <v>259</v>
      </c>
      <c r="F128" s="123">
        <v>15000000</v>
      </c>
    </row>
    <row r="129" spans="1:6">
      <c r="A129" s="184"/>
      <c r="B129" s="190"/>
      <c r="C129" s="184"/>
      <c r="D129" s="179"/>
      <c r="E129" s="124" t="s">
        <v>248</v>
      </c>
      <c r="F129" s="123">
        <v>2000000</v>
      </c>
    </row>
    <row r="130" spans="1:6">
      <c r="A130" s="184"/>
      <c r="B130" s="190"/>
      <c r="C130" s="184"/>
      <c r="D130" s="179"/>
      <c r="E130" s="124" t="s">
        <v>260</v>
      </c>
      <c r="F130" s="123">
        <v>11043698</v>
      </c>
    </row>
    <row r="131" spans="1:6">
      <c r="A131" s="184"/>
      <c r="B131" s="190"/>
      <c r="C131" s="184"/>
      <c r="D131" s="179"/>
      <c r="E131" s="124" t="s">
        <v>261</v>
      </c>
      <c r="F131" s="123">
        <v>3513904</v>
      </c>
    </row>
    <row r="132" spans="1:6">
      <c r="A132" s="184"/>
      <c r="B132" s="190"/>
      <c r="C132" s="184"/>
      <c r="D132" s="179"/>
      <c r="E132" s="124" t="s">
        <v>262</v>
      </c>
      <c r="F132" s="123">
        <v>5442398</v>
      </c>
    </row>
    <row r="133" spans="1:6">
      <c r="A133" s="184"/>
      <c r="B133" s="190"/>
      <c r="C133" s="184"/>
      <c r="D133" s="179"/>
      <c r="E133" s="124" t="s">
        <v>249</v>
      </c>
      <c r="F133" s="123">
        <f>45000000+14500000</f>
        <v>59500000</v>
      </c>
    </row>
    <row r="134" spans="1:6">
      <c r="A134" s="184"/>
      <c r="B134" s="190"/>
      <c r="C134" s="181" t="s">
        <v>378</v>
      </c>
      <c r="D134" s="179"/>
      <c r="E134" s="124" t="s">
        <v>255</v>
      </c>
      <c r="F134" s="123">
        <v>300000</v>
      </c>
    </row>
    <row r="135" spans="1:6">
      <c r="A135" s="184"/>
      <c r="B135" s="190"/>
      <c r="C135" s="181"/>
      <c r="D135" s="179"/>
      <c r="E135" s="124" t="s">
        <v>256</v>
      </c>
      <c r="F135" s="123">
        <v>16294973</v>
      </c>
    </row>
    <row r="136" spans="1:6">
      <c r="A136" s="184"/>
      <c r="B136" s="190"/>
      <c r="C136" s="181"/>
      <c r="D136" s="179"/>
      <c r="E136" s="124" t="s">
        <v>257</v>
      </c>
      <c r="F136" s="123">
        <v>11220748</v>
      </c>
    </row>
    <row r="137" spans="1:6">
      <c r="A137" s="184"/>
      <c r="B137" s="190"/>
      <c r="C137" s="181"/>
      <c r="D137" s="179"/>
      <c r="E137" s="124" t="s">
        <v>258</v>
      </c>
      <c r="F137" s="123">
        <v>33000000</v>
      </c>
    </row>
    <row r="138" spans="1:6">
      <c r="A138" s="184"/>
      <c r="B138" s="190"/>
      <c r="C138" s="181"/>
      <c r="D138" s="179"/>
      <c r="E138" s="124" t="s">
        <v>259</v>
      </c>
      <c r="F138" s="123">
        <v>34336977</v>
      </c>
    </row>
    <row r="139" spans="1:6">
      <c r="A139" s="184"/>
      <c r="B139" s="190"/>
      <c r="C139" s="181"/>
      <c r="D139" s="179"/>
      <c r="E139" s="124" t="s">
        <v>260</v>
      </c>
      <c r="F139" s="123">
        <v>10956302</v>
      </c>
    </row>
    <row r="140" spans="1:6">
      <c r="A140" s="184"/>
      <c r="B140" s="190"/>
      <c r="C140" s="181"/>
      <c r="D140" s="179"/>
      <c r="E140" s="124" t="s">
        <v>261</v>
      </c>
      <c r="F140" s="123">
        <v>3486096</v>
      </c>
    </row>
    <row r="141" spans="1:6">
      <c r="A141" s="184"/>
      <c r="B141" s="190"/>
      <c r="C141" s="181"/>
      <c r="D141" s="179"/>
      <c r="E141" s="124" t="s">
        <v>262</v>
      </c>
      <c r="F141" s="123">
        <v>5399329</v>
      </c>
    </row>
    <row r="142" spans="1:6">
      <c r="A142" s="184"/>
      <c r="B142" s="190"/>
      <c r="C142" s="181"/>
      <c r="D142" s="179"/>
      <c r="E142" s="124" t="s">
        <v>377</v>
      </c>
      <c r="F142" s="123">
        <v>8000000</v>
      </c>
    </row>
    <row r="143" spans="1:6">
      <c r="A143" s="184"/>
      <c r="B143" s="190"/>
      <c r="C143" s="181"/>
      <c r="D143" s="179"/>
      <c r="E143" s="124" t="s">
        <v>376</v>
      </c>
      <c r="F143" s="123">
        <v>13000000</v>
      </c>
    </row>
    <row r="144" spans="1:6">
      <c r="A144" s="184"/>
      <c r="B144" s="190"/>
      <c r="C144" s="181"/>
      <c r="D144" s="179"/>
      <c r="E144" s="124" t="s">
        <v>375</v>
      </c>
      <c r="F144" s="123">
        <v>20000000</v>
      </c>
    </row>
    <row r="145" spans="1:6">
      <c r="A145" s="184"/>
      <c r="B145" s="190"/>
      <c r="C145" s="183" t="s">
        <v>442</v>
      </c>
      <c r="D145" s="179"/>
      <c r="E145" s="124" t="s">
        <v>255</v>
      </c>
      <c r="F145" s="123">
        <v>688216</v>
      </c>
    </row>
    <row r="146" spans="1:6">
      <c r="A146" s="184"/>
      <c r="B146" s="190"/>
      <c r="C146" s="184"/>
      <c r="D146" s="179"/>
      <c r="E146" s="124" t="s">
        <v>256</v>
      </c>
      <c r="F146" s="123">
        <v>48068050</v>
      </c>
    </row>
    <row r="147" spans="1:6">
      <c r="A147" s="185"/>
      <c r="B147" s="191"/>
      <c r="C147" s="185"/>
      <c r="D147" s="180"/>
      <c r="E147" s="124" t="s">
        <v>465</v>
      </c>
      <c r="F147" s="123">
        <v>91036</v>
      </c>
    </row>
    <row r="148" spans="1:6">
      <c r="A148" s="183" t="s">
        <v>374</v>
      </c>
      <c r="B148" s="186" t="s">
        <v>158</v>
      </c>
      <c r="C148" s="183" t="s">
        <v>373</v>
      </c>
      <c r="D148" s="178" t="s">
        <v>158</v>
      </c>
      <c r="E148" s="124" t="s">
        <v>370</v>
      </c>
      <c r="F148" s="123">
        <v>3555734</v>
      </c>
    </row>
    <row r="149" spans="1:6">
      <c r="A149" s="184"/>
      <c r="B149" s="187"/>
      <c r="C149" s="184"/>
      <c r="D149" s="179"/>
      <c r="E149" s="124" t="s">
        <v>369</v>
      </c>
      <c r="F149" s="123">
        <v>45970577</v>
      </c>
    </row>
    <row r="150" spans="1:6">
      <c r="A150" s="184"/>
      <c r="B150" s="187"/>
      <c r="C150" s="184"/>
      <c r="D150" s="179"/>
      <c r="E150" s="124" t="s">
        <v>368</v>
      </c>
      <c r="F150" s="123">
        <v>914332</v>
      </c>
    </row>
    <row r="151" spans="1:6">
      <c r="A151" s="185"/>
      <c r="B151" s="188"/>
      <c r="C151" s="185"/>
      <c r="D151" s="180"/>
      <c r="E151" s="124" t="s">
        <v>367</v>
      </c>
      <c r="F151" s="123">
        <v>355574</v>
      </c>
    </row>
    <row r="152" spans="1:6">
      <c r="A152" s="183" t="s">
        <v>372</v>
      </c>
      <c r="B152" s="186" t="s">
        <v>158</v>
      </c>
      <c r="C152" s="183" t="s">
        <v>371</v>
      </c>
      <c r="D152" s="178" t="s">
        <v>158</v>
      </c>
      <c r="E152" s="124" t="s">
        <v>370</v>
      </c>
      <c r="F152" s="123">
        <v>1302620</v>
      </c>
    </row>
    <row r="153" spans="1:6">
      <c r="A153" s="184"/>
      <c r="B153" s="187"/>
      <c r="C153" s="184"/>
      <c r="D153" s="179"/>
      <c r="E153" s="124" t="s">
        <v>369</v>
      </c>
      <c r="F153" s="123">
        <v>13628391</v>
      </c>
    </row>
    <row r="154" spans="1:6">
      <c r="A154" s="184"/>
      <c r="B154" s="187"/>
      <c r="C154" s="184"/>
      <c r="D154" s="179"/>
      <c r="E154" s="124" t="s">
        <v>368</v>
      </c>
      <c r="F154" s="123">
        <v>334959</v>
      </c>
    </row>
    <row r="155" spans="1:6">
      <c r="A155" s="185"/>
      <c r="B155" s="188"/>
      <c r="C155" s="185"/>
      <c r="D155" s="180"/>
      <c r="E155" s="124" t="s">
        <v>367</v>
      </c>
      <c r="F155" s="123">
        <v>3342886</v>
      </c>
    </row>
    <row r="156" spans="1:6">
      <c r="A156" s="183" t="s">
        <v>366</v>
      </c>
      <c r="B156" s="186" t="s">
        <v>158</v>
      </c>
      <c r="C156" s="183" t="s">
        <v>365</v>
      </c>
      <c r="D156" s="178" t="s">
        <v>158</v>
      </c>
      <c r="E156" s="124">
        <v>179</v>
      </c>
      <c r="F156" s="123">
        <v>1628443</v>
      </c>
    </row>
    <row r="157" spans="1:6">
      <c r="A157" s="184"/>
      <c r="B157" s="187"/>
      <c r="C157" s="184"/>
      <c r="D157" s="179"/>
      <c r="E157" s="124">
        <v>180</v>
      </c>
      <c r="F157" s="123">
        <v>21053470</v>
      </c>
    </row>
    <row r="158" spans="1:6">
      <c r="A158" s="184"/>
      <c r="B158" s="187"/>
      <c r="C158" s="184"/>
      <c r="D158" s="179"/>
      <c r="E158" s="124">
        <v>181</v>
      </c>
      <c r="F158" s="123">
        <v>418743</v>
      </c>
    </row>
    <row r="159" spans="1:6">
      <c r="A159" s="185"/>
      <c r="B159" s="188"/>
      <c r="C159" s="185"/>
      <c r="D159" s="180"/>
      <c r="E159" s="124">
        <v>182</v>
      </c>
      <c r="F159" s="123">
        <v>162845</v>
      </c>
    </row>
    <row r="160" spans="1:6">
      <c r="A160" s="183" t="s">
        <v>445</v>
      </c>
      <c r="B160" s="186" t="s">
        <v>446</v>
      </c>
      <c r="C160" s="183" t="s">
        <v>447</v>
      </c>
      <c r="D160" s="178" t="s">
        <v>448</v>
      </c>
      <c r="E160" s="124">
        <v>58</v>
      </c>
      <c r="F160" s="123">
        <v>5000000</v>
      </c>
    </row>
    <row r="161" spans="1:6">
      <c r="A161" s="184"/>
      <c r="B161" s="187"/>
      <c r="C161" s="184"/>
      <c r="D161" s="179"/>
      <c r="E161" s="124">
        <v>60</v>
      </c>
      <c r="F161" s="123">
        <v>5000000</v>
      </c>
    </row>
    <row r="162" spans="1:6">
      <c r="A162" s="185"/>
      <c r="B162" s="188"/>
      <c r="C162" s="185"/>
      <c r="D162" s="180"/>
      <c r="E162" s="124">
        <v>93</v>
      </c>
      <c r="F162" s="144">
        <v>72407723</v>
      </c>
    </row>
    <row r="163" spans="1:6" ht="15">
      <c r="A163" s="181" t="s">
        <v>460</v>
      </c>
      <c r="B163" s="182" t="s">
        <v>461</v>
      </c>
      <c r="C163" s="141" t="s">
        <v>462</v>
      </c>
      <c r="D163" s="181" t="s">
        <v>463</v>
      </c>
      <c r="E163" s="124">
        <v>10</v>
      </c>
      <c r="F163" s="144">
        <v>2000000</v>
      </c>
    </row>
    <row r="164" spans="1:6" ht="15">
      <c r="A164" s="181"/>
      <c r="B164" s="182"/>
      <c r="C164" s="141" t="s">
        <v>462</v>
      </c>
      <c r="D164" s="181"/>
      <c r="E164" s="124">
        <v>188</v>
      </c>
      <c r="F164" s="144">
        <v>2000000</v>
      </c>
    </row>
    <row r="165" spans="1:6" ht="15">
      <c r="A165" s="181"/>
      <c r="B165" s="182"/>
      <c r="C165" s="141" t="s">
        <v>462</v>
      </c>
      <c r="D165" s="181"/>
      <c r="E165" s="124">
        <v>189</v>
      </c>
      <c r="F165" s="144">
        <v>4000000</v>
      </c>
    </row>
    <row r="166" spans="1:6" ht="15">
      <c r="A166" s="181"/>
      <c r="B166" s="182"/>
      <c r="C166" s="141" t="s">
        <v>462</v>
      </c>
      <c r="D166" s="181"/>
      <c r="E166" s="124">
        <v>190</v>
      </c>
      <c r="F166" s="144">
        <v>2000000</v>
      </c>
    </row>
    <row r="167" spans="1:6" ht="15">
      <c r="A167" s="181"/>
      <c r="B167" s="182"/>
      <c r="C167" s="141" t="s">
        <v>462</v>
      </c>
      <c r="D167" s="181"/>
      <c r="E167" s="124">
        <v>191</v>
      </c>
      <c r="F167" s="144">
        <v>4000000</v>
      </c>
    </row>
    <row r="168" spans="1:6" ht="15">
      <c r="A168" s="181"/>
      <c r="B168" s="182"/>
      <c r="C168" s="141" t="s">
        <v>462</v>
      </c>
      <c r="D168" s="181"/>
      <c r="E168" s="124">
        <v>192</v>
      </c>
      <c r="F168" s="144">
        <v>2000000</v>
      </c>
    </row>
    <row r="169" spans="1:6" ht="15">
      <c r="A169" s="181"/>
      <c r="B169" s="182"/>
      <c r="C169" s="141" t="s">
        <v>462</v>
      </c>
      <c r="D169" s="181"/>
      <c r="E169" s="124" t="s">
        <v>464</v>
      </c>
      <c r="F169" s="144">
        <v>4000000</v>
      </c>
    </row>
    <row r="170" spans="1:6" ht="15">
      <c r="A170" s="145"/>
      <c r="B170" s="146"/>
      <c r="C170" s="145"/>
      <c r="D170" s="145"/>
      <c r="E170" s="147"/>
      <c r="F170" s="148">
        <f>SUM(F3:F169)</f>
        <v>2316276312</v>
      </c>
    </row>
  </sheetData>
  <mergeCells count="89">
    <mergeCell ref="A1:F1"/>
    <mergeCell ref="A3:A13"/>
    <mergeCell ref="B3:B13"/>
    <mergeCell ref="D3:D9"/>
    <mergeCell ref="C4:C9"/>
    <mergeCell ref="C11:C12"/>
    <mergeCell ref="D11:D13"/>
    <mergeCell ref="C19:C23"/>
    <mergeCell ref="C24:C26"/>
    <mergeCell ref="D24:D29"/>
    <mergeCell ref="C27:C29"/>
    <mergeCell ref="C31:C32"/>
    <mergeCell ref="A49:A53"/>
    <mergeCell ref="B49:B53"/>
    <mergeCell ref="C49:C53"/>
    <mergeCell ref="D49:D53"/>
    <mergeCell ref="D31:D32"/>
    <mergeCell ref="C33:C35"/>
    <mergeCell ref="D33:D35"/>
    <mergeCell ref="C36:C37"/>
    <mergeCell ref="D36:D37"/>
    <mergeCell ref="C39:C40"/>
    <mergeCell ref="D39:D40"/>
    <mergeCell ref="A14:A40"/>
    <mergeCell ref="B14:B40"/>
    <mergeCell ref="C14:C16"/>
    <mergeCell ref="D14:D23"/>
    <mergeCell ref="C17:C18"/>
    <mergeCell ref="A41:A48"/>
    <mergeCell ref="B41:B48"/>
    <mergeCell ref="C41:C44"/>
    <mergeCell ref="D41:D48"/>
    <mergeCell ref="C45:C48"/>
    <mergeCell ref="A54:A58"/>
    <mergeCell ref="B54:B58"/>
    <mergeCell ref="C54:C55"/>
    <mergeCell ref="D54:D55"/>
    <mergeCell ref="C56:C58"/>
    <mergeCell ref="D56:D58"/>
    <mergeCell ref="D101:D102"/>
    <mergeCell ref="C104:C105"/>
    <mergeCell ref="A59:A82"/>
    <mergeCell ref="B59:B82"/>
    <mergeCell ref="C59:C70"/>
    <mergeCell ref="D59:D82"/>
    <mergeCell ref="C71:C82"/>
    <mergeCell ref="A83:A100"/>
    <mergeCell ref="B83:B100"/>
    <mergeCell ref="C83:C85"/>
    <mergeCell ref="D83:D85"/>
    <mergeCell ref="C89:C92"/>
    <mergeCell ref="D89:D92"/>
    <mergeCell ref="C94:C95"/>
    <mergeCell ref="D94:D95"/>
    <mergeCell ref="C97:C99"/>
    <mergeCell ref="D97:D99"/>
    <mergeCell ref="A152:A155"/>
    <mergeCell ref="B152:B155"/>
    <mergeCell ref="C152:C155"/>
    <mergeCell ref="D152:D155"/>
    <mergeCell ref="D104:D105"/>
    <mergeCell ref="A106:A147"/>
    <mergeCell ref="B106:B147"/>
    <mergeCell ref="C106:C109"/>
    <mergeCell ref="D106:D147"/>
    <mergeCell ref="C110:C114"/>
    <mergeCell ref="C115:C116"/>
    <mergeCell ref="C117:C124"/>
    <mergeCell ref="C125:C133"/>
    <mergeCell ref="C134:C144"/>
    <mergeCell ref="A101:A105"/>
    <mergeCell ref="B101:B105"/>
    <mergeCell ref="C145:C147"/>
    <mergeCell ref="A148:A151"/>
    <mergeCell ref="B148:B151"/>
    <mergeCell ref="C148:C151"/>
    <mergeCell ref="C101:C102"/>
    <mergeCell ref="D148:D151"/>
    <mergeCell ref="A163:A169"/>
    <mergeCell ref="B163:B169"/>
    <mergeCell ref="D163:D169"/>
    <mergeCell ref="A156:A159"/>
    <mergeCell ref="B156:B159"/>
    <mergeCell ref="C156:C159"/>
    <mergeCell ref="D156:D159"/>
    <mergeCell ref="A160:A162"/>
    <mergeCell ref="B160:B162"/>
    <mergeCell ref="C160:C162"/>
    <mergeCell ref="D160:D162"/>
  </mergeCells>
  <pageMargins left="0.7" right="0.7" top="0.75" bottom="0.75" header="0.3" footer="0.3"/>
  <pageSetup paperSize="9" scale="97" orientation="portrait" r:id="rId1"/>
  <rowBreaks count="2" manualBreakCount="2">
    <brk id="105" max="16383" man="1"/>
    <brk id="15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3:F13"/>
  <sheetViews>
    <sheetView workbookViewId="0">
      <selection activeCell="F13" sqref="F13"/>
    </sheetView>
  </sheetViews>
  <sheetFormatPr defaultRowHeight="14.25"/>
  <cols>
    <col min="5" max="5" width="18.125" customWidth="1"/>
    <col min="6" max="6" width="18.875" customWidth="1"/>
  </cols>
  <sheetData>
    <row r="3" spans="5:6">
      <c r="E3">
        <v>16248797.65</v>
      </c>
      <c r="F3" s="84">
        <v>114525052</v>
      </c>
    </row>
    <row r="4" spans="5:6">
      <c r="E4">
        <v>15723291.76</v>
      </c>
      <c r="F4" s="84">
        <v>217614539</v>
      </c>
    </row>
    <row r="5" spans="5:6">
      <c r="E5">
        <v>7785152.9400000004</v>
      </c>
      <c r="F5" s="84">
        <v>76562791</v>
      </c>
    </row>
    <row r="6" spans="5:6">
      <c r="E6">
        <v>46651820</v>
      </c>
      <c r="F6" s="84">
        <v>131348597</v>
      </c>
    </row>
    <row r="7" spans="5:6">
      <c r="E7">
        <v>4085631.76</v>
      </c>
      <c r="F7" s="84">
        <v>86658104</v>
      </c>
    </row>
    <row r="8" spans="5:6">
      <c r="F8" s="84">
        <v>281397137</v>
      </c>
    </row>
    <row r="9" spans="5:6">
      <c r="F9" s="84">
        <v>13957707</v>
      </c>
    </row>
    <row r="10" spans="5:6">
      <c r="E10" s="84">
        <v>7293380</v>
      </c>
      <c r="F10" s="84">
        <v>109440701</v>
      </c>
    </row>
    <row r="11" spans="5:6">
      <c r="E11">
        <v>3529412</v>
      </c>
      <c r="F11" s="84">
        <v>30593039</v>
      </c>
    </row>
    <row r="12" spans="5:6">
      <c r="E12">
        <v>2823529</v>
      </c>
      <c r="F12" s="84">
        <v>12544039</v>
      </c>
    </row>
    <row r="13" spans="5:6">
      <c r="E13" s="84">
        <f>E10-E11-E12</f>
        <v>940439</v>
      </c>
      <c r="F13" s="84">
        <f>SUM(F3:F12)</f>
        <v>1074641706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5:D9"/>
  <sheetViews>
    <sheetView workbookViewId="0">
      <selection activeCell="D9" sqref="D9"/>
    </sheetView>
  </sheetViews>
  <sheetFormatPr defaultColWidth="9" defaultRowHeight="14.25"/>
  <cols>
    <col min="1" max="3" width="9" style="84"/>
    <col min="4" max="4" width="14.5" style="84" customWidth="1"/>
    <col min="5" max="16384" width="9" style="84"/>
  </cols>
  <sheetData>
    <row r="5" spans="4:4">
      <c r="D5" s="84">
        <v>11374193</v>
      </c>
    </row>
    <row r="6" spans="4:4">
      <c r="D6" s="84">
        <v>4000000</v>
      </c>
    </row>
    <row r="7" spans="4:4">
      <c r="D7" s="84">
        <v>4000000</v>
      </c>
    </row>
    <row r="8" spans="4:4">
      <c r="D8" s="84">
        <v>2040000</v>
      </c>
    </row>
    <row r="9" spans="4:4">
      <c r="D9" s="84">
        <f>D5-D6-D7-D8</f>
        <v>1334193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2</vt:i4>
      </vt:variant>
    </vt:vector>
  </HeadingPairs>
  <TitlesOfParts>
    <vt:vector size="9" baseType="lpstr">
      <vt:lpstr>IPF</vt:lpstr>
      <vt:lpstr>IPF - RW</vt:lpstr>
      <vt:lpstr>wskazówki</vt:lpstr>
      <vt:lpstr>2.dział SZOP do opinii v29</vt:lpstr>
      <vt:lpstr>5.KI - SZOP do opinii v29</vt:lpstr>
      <vt:lpstr>Arkusz2</vt:lpstr>
      <vt:lpstr>Arkusz3</vt:lpstr>
      <vt:lpstr>'2.dział SZOP do opinii v29'!Obszar_wydruku</vt:lpstr>
      <vt:lpstr>'5.KI - SZOP do opinii v29'!Obszar_wydruku</vt:lpstr>
    </vt:vector>
  </TitlesOfParts>
  <Company>Urząd Marszałkowski Województwa Lubuskiego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Kwiatkowska Ewelina</dc:creator>
  <cp:lastModifiedBy>Agnieszka Fedyk</cp:lastModifiedBy>
  <cp:lastPrinted>2025-12-16T11:35:44Z</cp:lastPrinted>
  <dcterms:created xsi:type="dcterms:W3CDTF">2015-02-06T13:26:59Z</dcterms:created>
  <dcterms:modified xsi:type="dcterms:W3CDTF">2025-12-16T11:37:30Z</dcterms:modified>
</cp:coreProperties>
</file>